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50" windowHeight="7875" activeTab="2"/>
  </bookViews>
  <sheets>
    <sheet name="protokols" sheetId="1" r:id="rId1"/>
    <sheet name="izraksts no protokola " sheetId="2" r:id="rId2"/>
    <sheet name="Domes lēmums  " sheetId="3" r:id="rId3"/>
  </sheets>
  <definedNames>
    <definedName name="_xlnm.Print_Area" localSheetId="2">'Domes lēmums  '!$A$3:$N$42</definedName>
    <definedName name="_xlnm.Print_Area" localSheetId="1">'izraksts no protokola '!$A$9:$N$37</definedName>
    <definedName name="_xlnm.Print_Area" localSheetId="0">'protokols'!$A$9:$N$39</definedName>
  </definedNames>
  <calcPr fullCalcOnLoad="1"/>
</workbook>
</file>

<file path=xl/sharedStrings.xml><?xml version="1.0" encoding="utf-8"?>
<sst xmlns="http://schemas.openxmlformats.org/spreadsheetml/2006/main" count="387" uniqueCount="106">
  <si>
    <t xml:space="preserve"> </t>
  </si>
  <si>
    <t>Iestādes nosaukums</t>
  </si>
  <si>
    <t>1345 03</t>
  </si>
  <si>
    <t>Daugavpils Valsts ģimnāzija</t>
  </si>
  <si>
    <t>Daugavpils Krievu vidusskola-licejs</t>
  </si>
  <si>
    <t>Daugavpils 3.vidusskola</t>
  </si>
  <si>
    <t>Daugavpils 9.vidusskola</t>
  </si>
  <si>
    <t>Daugavpils 10.vidusskola</t>
  </si>
  <si>
    <t>Daugavpils 12.vidusskola</t>
  </si>
  <si>
    <t>Daugavpils 13.vidusskola</t>
  </si>
  <si>
    <t>Daugavpils 15.vidusskola</t>
  </si>
  <si>
    <t>Daugavpils 16.vidusskola</t>
  </si>
  <si>
    <t>Daugavpils 17.vidusskola</t>
  </si>
  <si>
    <t>Daugavpils 11.pamatskola</t>
  </si>
  <si>
    <t>Daugavpils Saskaņas pamatskola</t>
  </si>
  <si>
    <t>Daugavpils Vienības pamatskola</t>
  </si>
  <si>
    <t>J.Raiņa Daugavpils 6.vidusskola</t>
  </si>
  <si>
    <t>J.Pilsudska Daugavpils valsts poļu ģimnāzija</t>
  </si>
  <si>
    <t>Nr.p.k.</t>
  </si>
  <si>
    <t>Kods pēc</t>
  </si>
  <si>
    <t>Daugavpils pilsētas Bērnu un jauniešu centrs "Jaunība"</t>
  </si>
  <si>
    <t>1345 08</t>
  </si>
  <si>
    <t>Daugavpils Centra vidusskola</t>
  </si>
  <si>
    <t>Daugavpils 1.speciālā pamatskola</t>
  </si>
  <si>
    <t>Daugavpils pilsētas Izglītības pārvaldes padotībā esošo</t>
  </si>
  <si>
    <t>APSTIPRINĀTS</t>
  </si>
  <si>
    <t>ar Daugavpils pilsētas domes</t>
  </si>
  <si>
    <t>1.pielikums</t>
  </si>
  <si>
    <t>Daugavpils pilsētas domes priekšsēdētājs</t>
  </si>
  <si>
    <t>1.</t>
  </si>
  <si>
    <t>2.</t>
  </si>
  <si>
    <t>3.</t>
  </si>
  <si>
    <t>4.</t>
  </si>
  <si>
    <t>5.</t>
  </si>
  <si>
    <t>6.</t>
  </si>
  <si>
    <t>7.</t>
  </si>
  <si>
    <t>8.</t>
  </si>
  <si>
    <t>9.</t>
  </si>
  <si>
    <t>10.</t>
  </si>
  <si>
    <t>11.</t>
  </si>
  <si>
    <t>12.</t>
  </si>
  <si>
    <t>13.</t>
  </si>
  <si>
    <t>14.</t>
  </si>
  <si>
    <t>15.</t>
  </si>
  <si>
    <t>16.</t>
  </si>
  <si>
    <t>17.</t>
  </si>
  <si>
    <t>18.</t>
  </si>
  <si>
    <t>19.</t>
  </si>
  <si>
    <t>20.</t>
  </si>
  <si>
    <t>t.sk. no valsts budžeta</t>
  </si>
  <si>
    <t>t.sk. no pašvaldības budžeta</t>
  </si>
  <si>
    <t>2130*</t>
  </si>
  <si>
    <t>R.Eigims</t>
  </si>
  <si>
    <t>Profesionālās izglītības kompetences centrs "Daugavpils Dizaina un mākslas vidusskola "Saules skola""</t>
  </si>
  <si>
    <t>Izglītojamo skaits uz 01.09.2018.</t>
  </si>
  <si>
    <r>
      <t xml:space="preserve">Mēneša darba algas likme no 01.09.2018. </t>
    </r>
    <r>
      <rPr>
        <i/>
        <sz val="12"/>
        <rFont val="Times New Roman"/>
        <family val="1"/>
      </rPr>
      <t>(euro)</t>
    </r>
  </si>
  <si>
    <t>Daugavpils Stropu pamatskola - attīstības centrs</t>
  </si>
  <si>
    <t>* izglītojamo skaits uz 01.10.2017.</t>
  </si>
  <si>
    <t>palielinājums no valsts budžeta</t>
  </si>
  <si>
    <t>t.sk. no valsts budžeta saskaņā ar MK 445</t>
  </si>
  <si>
    <t>kopā no valsts budžeta</t>
  </si>
  <si>
    <t>Algas palielinājums par darbinieku skaitu</t>
  </si>
  <si>
    <t>Integrētie bērni</t>
  </si>
  <si>
    <t>Algas palielinājums par integrētajiem bērniem</t>
  </si>
  <si>
    <t>Izglītības iestādes dibinātājam saskaņā ar tā apstiprinātajiem kritērijiem, izvērtējot izglītības iestādes vadītāja darba intensitāti un personīgo ieguldījumu izglītības iestādes attīstībā, apstiprinātā valsts budžeta finansējuma ietvaros ir tiesības noteikt augstāku vispārējās izglītības, profesionālās izglītības un interešu izglītības iestādes vadītāja mēneša darba algas likmi par šajos noteikumos noteikto zemāko izglītības iestādes vadītāja mēneša darba algas likmi. Nosakot izglītības iestādes vadītāja mēneša darba algas likmi, var ņemt vērā izglītības iestādes vadītāja pedagoģiskā darba stāžu.</t>
  </si>
  <si>
    <t>0 EUR</t>
  </si>
  <si>
    <t>0-39</t>
  </si>
  <si>
    <t>40-49</t>
  </si>
  <si>
    <t>50-59</t>
  </si>
  <si>
    <t>60 un vairāk</t>
  </si>
  <si>
    <t>50 EUR</t>
  </si>
  <si>
    <t xml:space="preserve">Algas palielinājums SAM un citiem investīciju projektiem virs 100000 EUR </t>
  </si>
  <si>
    <t>Darbinieku skaits izglītības iestādē</t>
  </si>
  <si>
    <t>Pedagogu vērtēšana (novērtēto pedagogu skaits izglītības iestāde)</t>
  </si>
  <si>
    <t>Kritērija cena, EUR</t>
  </si>
  <si>
    <t>Kopā, EUR</t>
  </si>
  <si>
    <t>Vidusskolām OCE indekss; pamatskolām vidējā atzīme matemātikā, valsts valodā un svešvalodā, pārveidota procentpunktos</t>
  </si>
  <si>
    <t xml:space="preserve">Algas palielinājums vidusskolām par OCE indeksu; pamatskolām par vidējo atzīmi matemātikā, valsts valodā un svešvalodā, pārveidotu procentpunktos </t>
  </si>
  <si>
    <t>Daugavpils Valsts ģimnāzija*</t>
  </si>
  <si>
    <t>Profesionālās izglītības kompetences centrs "Daugavpils Dizaina un mākslas vidusskola "Saules skola""*</t>
  </si>
  <si>
    <t>*DVĢ jaunajam direktoram, pamatojoties uz 3 kritērijiem, jo pārējie 2 ir par iepriekšējo mācību gadu</t>
  </si>
  <si>
    <t>**ņemot vērā projekta kopējās izmaksas 5 milj. EUR apmērā</t>
  </si>
  <si>
    <t>Algas palielinājums par pedagogu vērtēšanu</t>
  </si>
  <si>
    <t>SAM un citi investīciju projekti  virs 100000, EUR</t>
  </si>
  <si>
    <r>
      <t>direktoru mēneša darba algas likmes palielinājums</t>
    </r>
    <r>
      <rPr>
        <b/>
        <i/>
        <sz val="14"/>
        <rFont val="Times New Roman"/>
        <family val="1"/>
      </rPr>
      <t xml:space="preserve"> (euro)</t>
    </r>
  </si>
  <si>
    <t xml:space="preserve">Daugavpils pilsētas pašvaldības vispārējo un profesionālo izglītības iestāžu </t>
  </si>
  <si>
    <t>OCE</t>
  </si>
  <si>
    <r>
      <t>direktoru mēneša darba algas likmes</t>
    </r>
    <r>
      <rPr>
        <b/>
        <i/>
        <sz val="14"/>
        <rFont val="Times New Roman"/>
        <family val="1"/>
      </rPr>
      <t xml:space="preserve"> (euro)</t>
    </r>
  </si>
  <si>
    <t>70 EUR</t>
  </si>
  <si>
    <t>90 EUR</t>
  </si>
  <si>
    <t>Palielinājums no valsts budžeta virs MK noteikumos Nr. 445 noteiktās zemākās mēneša darba algas likmes</t>
  </si>
  <si>
    <t>Algas palielinājums par darbinieku skaitu, EUR</t>
  </si>
  <si>
    <t>Algas palielinājums par integrētajiem bērniem, EUR</t>
  </si>
  <si>
    <t>Algas palielinājums par pedagogu vērtēšanu, EUIR</t>
  </si>
  <si>
    <t>A.Elksniņš</t>
  </si>
  <si>
    <t>* izglītojamo skaits uz 01.10.2018.</t>
  </si>
  <si>
    <t>Izglītojamo skaits uz 01.09.2019.</t>
  </si>
  <si>
    <r>
      <t xml:space="preserve">Mēneša darba algas likme no 01.09.2019. </t>
    </r>
    <r>
      <rPr>
        <i/>
        <sz val="12"/>
        <rFont val="Times New Roman"/>
        <family val="1"/>
      </rPr>
      <t>(euro)</t>
    </r>
  </si>
  <si>
    <t>Algas palielinājums vidusskolām par OCE indeksu; pamatskolām par vidējo atzīmi matemātikā, valsts valodā un svešvalodā, pārveidotu procentpunktos, EUR</t>
  </si>
  <si>
    <t>**Kultūras Ministrijas piešķirtā finansējuma ietvaros</t>
  </si>
  <si>
    <t>2600*</t>
  </si>
  <si>
    <t>No valsts budžeta noteiktā minimālā mēneša darba algas likme saskaņā ar MK 445</t>
  </si>
  <si>
    <t xml:space="preserve">Palielinājums no pašvaldības budžeta (10% no valsts budžeta noteiktās minimālās mēneša darba algas likmes) </t>
  </si>
  <si>
    <t>2019.gada 26.septembrī</t>
  </si>
  <si>
    <t>lēmumu Nr.569</t>
  </si>
  <si>
    <r>
      <t xml:space="preserve">Domes priekšsēdētājs </t>
    </r>
    <r>
      <rPr>
        <i/>
        <sz val="14"/>
        <color indexed="8"/>
        <rFont val="Times New Roman"/>
        <family val="1"/>
      </rPr>
      <t>(personiskais paraksts)</t>
    </r>
  </si>
</sst>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0.0"/>
    <numFmt numFmtId="187" formatCode="0.00000"/>
    <numFmt numFmtId="188" formatCode="0.0000"/>
    <numFmt numFmtId="189" formatCode="0.000"/>
  </numFmts>
  <fonts count="47">
    <font>
      <sz val="11"/>
      <color theme="1"/>
      <name val="Calibri"/>
      <family val="2"/>
    </font>
    <font>
      <sz val="11"/>
      <color indexed="8"/>
      <name val="Calibri"/>
      <family val="2"/>
    </font>
    <font>
      <sz val="12"/>
      <color indexed="8"/>
      <name val="Times New Roman"/>
      <family val="1"/>
    </font>
    <font>
      <sz val="10"/>
      <name val="Arial"/>
      <family val="2"/>
    </font>
    <font>
      <sz val="14"/>
      <color indexed="8"/>
      <name val="Times New Roman"/>
      <family val="1"/>
    </font>
    <font>
      <b/>
      <sz val="12"/>
      <color indexed="8"/>
      <name val="Times New Roman"/>
      <family val="1"/>
    </font>
    <font>
      <sz val="12"/>
      <name val="Times New Roman"/>
      <family val="1"/>
    </font>
    <font>
      <sz val="11"/>
      <color indexed="8"/>
      <name val="Times New Roman"/>
      <family val="1"/>
    </font>
    <font>
      <b/>
      <sz val="14"/>
      <name val="Times New Roman"/>
      <family val="1"/>
    </font>
    <font>
      <b/>
      <i/>
      <sz val="14"/>
      <name val="Times New Roman"/>
      <family val="1"/>
    </font>
    <font>
      <b/>
      <sz val="11"/>
      <color indexed="8"/>
      <name val="Times New Roman"/>
      <family val="1"/>
    </font>
    <font>
      <i/>
      <sz val="12"/>
      <name val="Times New Roman"/>
      <family val="1"/>
    </font>
    <font>
      <b/>
      <sz val="12"/>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color indexed="63"/>
      </left>
      <right style="thin"/>
      <top style="thin"/>
      <bottom style="medium"/>
    </border>
    <border>
      <left style="thin"/>
      <right style="thin"/>
      <top style="thin"/>
      <bottom style="thin"/>
    </border>
    <border>
      <left style="medium"/>
      <right style="thin"/>
      <top style="thin"/>
      <bottom style="medium"/>
    </border>
    <border>
      <left style="thin"/>
      <right style="medium"/>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thin"/>
      <right style="medium"/>
      <top style="thin"/>
      <bottom style="medium"/>
    </border>
    <border>
      <left>
        <color indexed="63"/>
      </left>
      <right>
        <color indexed="63"/>
      </right>
      <top style="thin"/>
      <bottom style="thin"/>
    </border>
    <border>
      <left style="medium"/>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style="medium"/>
      <bottom style="thin"/>
    </border>
    <border>
      <left>
        <color indexed="63"/>
      </left>
      <right style="thin"/>
      <top style="thin"/>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5">
    <xf numFmtId="0" fontId="0" fillId="0" borderId="0" xfId="0" applyFont="1" applyAlignment="1">
      <alignment/>
    </xf>
    <xf numFmtId="0" fontId="4" fillId="0" borderId="0" xfId="0" applyFont="1" applyAlignment="1">
      <alignment/>
    </xf>
    <xf numFmtId="0" fontId="2" fillId="0" borderId="10" xfId="0" applyFont="1" applyBorder="1" applyAlignment="1">
      <alignment horizontal="center"/>
    </xf>
    <xf numFmtId="0" fontId="2" fillId="0" borderId="11" xfId="0" applyFont="1" applyFill="1" applyBorder="1" applyAlignment="1">
      <alignment horizontal="center" vertical="center" wrapText="1"/>
    </xf>
    <xf numFmtId="0" fontId="7" fillId="0" borderId="0" xfId="0" applyFont="1" applyAlignment="1">
      <alignment/>
    </xf>
    <xf numFmtId="0" fontId="7" fillId="0" borderId="0" xfId="0" applyFont="1" applyAlignment="1">
      <alignment horizontal="center"/>
    </xf>
    <xf numFmtId="0" fontId="5" fillId="0" borderId="0" xfId="0" applyFont="1" applyAlignment="1">
      <alignment horizontal="center"/>
    </xf>
    <xf numFmtId="0" fontId="7" fillId="0" borderId="0" xfId="0" applyFont="1" applyBorder="1" applyAlignment="1">
      <alignment horizontal="right"/>
    </xf>
    <xf numFmtId="0" fontId="6" fillId="0" borderId="12" xfId="0" applyFont="1" applyBorder="1" applyAlignment="1">
      <alignment horizontal="center"/>
    </xf>
    <xf numFmtId="0" fontId="4"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7" fillId="0" borderId="0" xfId="0" applyFont="1" applyAlignment="1">
      <alignment/>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xf>
    <xf numFmtId="2" fontId="10" fillId="0" borderId="0" xfId="0" applyNumberFormat="1" applyFont="1" applyAlignment="1">
      <alignment/>
    </xf>
    <xf numFmtId="0" fontId="10" fillId="0" borderId="0" xfId="0" applyFont="1" applyAlignment="1">
      <alignment/>
    </xf>
    <xf numFmtId="1" fontId="7" fillId="0" borderId="0" xfId="0" applyNumberFormat="1" applyFont="1" applyAlignment="1">
      <alignment/>
    </xf>
    <xf numFmtId="2" fontId="7" fillId="33" borderId="0" xfId="0" applyNumberFormat="1" applyFont="1" applyFill="1" applyBorder="1" applyAlignment="1">
      <alignment/>
    </xf>
    <xf numFmtId="0" fontId="2" fillId="33" borderId="0" xfId="0" applyFont="1" applyFill="1" applyAlignment="1">
      <alignment/>
    </xf>
    <xf numFmtId="2" fontId="7" fillId="33" borderId="0" xfId="0" applyNumberFormat="1" applyFont="1" applyFill="1" applyBorder="1" applyAlignment="1">
      <alignment/>
    </xf>
    <xf numFmtId="2" fontId="4" fillId="33" borderId="0" xfId="0" applyNumberFormat="1" applyFont="1" applyFill="1" applyBorder="1" applyAlignment="1">
      <alignment/>
    </xf>
    <xf numFmtId="0" fontId="4" fillId="0" borderId="0" xfId="0" applyFont="1" applyAlignment="1">
      <alignment horizontal="right"/>
    </xf>
    <xf numFmtId="0" fontId="6" fillId="0" borderId="14" xfId="0" applyFont="1" applyBorder="1" applyAlignment="1">
      <alignment horizontal="center"/>
    </xf>
    <xf numFmtId="0" fontId="6" fillId="0" borderId="15" xfId="0" applyFont="1" applyBorder="1" applyAlignment="1">
      <alignment horizontal="left"/>
    </xf>
    <xf numFmtId="0" fontId="6" fillId="0" borderId="15" xfId="55" applyFont="1" applyBorder="1" applyAlignment="1">
      <alignment horizontal="left" wrapText="1"/>
      <protection/>
    </xf>
    <xf numFmtId="0" fontId="6" fillId="0" borderId="10" xfId="0" applyFont="1" applyBorder="1" applyAlignment="1">
      <alignment horizontal="center"/>
    </xf>
    <xf numFmtId="1" fontId="7" fillId="0" borderId="0" xfId="0" applyNumberFormat="1" applyFont="1" applyAlignment="1">
      <alignment/>
    </xf>
    <xf numFmtId="0" fontId="6" fillId="33" borderId="10" xfId="0" applyFont="1" applyFill="1" applyBorder="1" applyAlignment="1">
      <alignment horizontal="center"/>
    </xf>
    <xf numFmtId="0" fontId="6" fillId="33" borderId="12" xfId="0" applyFont="1" applyFill="1" applyBorder="1" applyAlignment="1">
      <alignment horizontal="center"/>
    </xf>
    <xf numFmtId="0" fontId="6" fillId="33" borderId="14" xfId="0" applyFont="1" applyFill="1" applyBorder="1" applyAlignment="1">
      <alignment horizontal="center"/>
    </xf>
    <xf numFmtId="0" fontId="6" fillId="33" borderId="12" xfId="0" applyFont="1" applyFill="1" applyBorder="1" applyAlignment="1">
      <alignment horizontal="center" vertical="center"/>
    </xf>
    <xf numFmtId="0" fontId="6" fillId="33" borderId="14" xfId="0" applyFont="1" applyFill="1" applyBorder="1" applyAlignment="1">
      <alignment horizontal="center" vertical="center"/>
    </xf>
    <xf numFmtId="0" fontId="6" fillId="0" borderId="16" xfId="0" applyFont="1" applyBorder="1" applyAlignment="1">
      <alignment horizontal="left"/>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6" fillId="0" borderId="18" xfId="0" applyFont="1" applyBorder="1" applyAlignment="1">
      <alignment horizontal="center"/>
    </xf>
    <xf numFmtId="0" fontId="6" fillId="0" borderId="17" xfId="55" applyFont="1" applyBorder="1" applyAlignment="1">
      <alignment horizontal="left" wrapText="1"/>
      <protection/>
    </xf>
    <xf numFmtId="1" fontId="6" fillId="0" borderId="15" xfId="0" applyNumberFormat="1" applyFont="1" applyBorder="1" applyAlignment="1">
      <alignment horizontal="center"/>
    </xf>
    <xf numFmtId="1" fontId="6" fillId="0" borderId="12" xfId="0" applyNumberFormat="1" applyFont="1" applyBorder="1" applyAlignment="1">
      <alignment horizontal="center"/>
    </xf>
    <xf numFmtId="2" fontId="6" fillId="0" borderId="14" xfId="0" applyNumberFormat="1" applyFont="1" applyBorder="1" applyAlignment="1">
      <alignment horizontal="center"/>
    </xf>
    <xf numFmtId="2" fontId="6" fillId="33" borderId="14" xfId="0" applyNumberFormat="1" applyFont="1" applyFill="1" applyBorder="1" applyAlignment="1">
      <alignment horizontal="center"/>
    </xf>
    <xf numFmtId="0" fontId="5" fillId="0" borderId="0" xfId="0" applyFont="1" applyAlignment="1">
      <alignment/>
    </xf>
    <xf numFmtId="1" fontId="12" fillId="0" borderId="15" xfId="0" applyNumberFormat="1" applyFont="1" applyBorder="1" applyAlignment="1">
      <alignment horizontal="center"/>
    </xf>
    <xf numFmtId="0" fontId="13" fillId="0" borderId="0" xfId="0" applyFont="1" applyAlignment="1">
      <alignment/>
    </xf>
    <xf numFmtId="1" fontId="6" fillId="0" borderId="14" xfId="0" applyNumberFormat="1" applyFont="1" applyBorder="1" applyAlignment="1">
      <alignment horizontal="center"/>
    </xf>
    <xf numFmtId="1" fontId="6" fillId="0" borderId="19" xfId="0" applyNumberFormat="1" applyFont="1" applyBorder="1" applyAlignment="1">
      <alignment horizontal="center"/>
    </xf>
    <xf numFmtId="0" fontId="2" fillId="0" borderId="20" xfId="0" applyFont="1" applyBorder="1" applyAlignment="1">
      <alignment horizontal="center"/>
    </xf>
    <xf numFmtId="0" fontId="2" fillId="0" borderId="21" xfId="0" applyFont="1" applyFill="1" applyBorder="1" applyAlignment="1">
      <alignment horizontal="center" vertical="center" wrapText="1"/>
    </xf>
    <xf numFmtId="0" fontId="6" fillId="0" borderId="22" xfId="55" applyFont="1" applyBorder="1" applyAlignment="1">
      <alignment horizontal="left" vertical="center" wrapText="1"/>
      <protection/>
    </xf>
    <xf numFmtId="0" fontId="6" fillId="33" borderId="20" xfId="55" applyFont="1" applyFill="1" applyBorder="1" applyAlignment="1">
      <alignment horizontal="center" vertical="center" wrapText="1"/>
      <protection/>
    </xf>
    <xf numFmtId="0" fontId="6" fillId="33" borderId="23" xfId="0" applyFont="1" applyFill="1" applyBorder="1" applyAlignment="1">
      <alignment horizontal="center"/>
    </xf>
    <xf numFmtId="0" fontId="6" fillId="33" borderId="23" xfId="55" applyFont="1" applyFill="1" applyBorder="1" applyAlignment="1">
      <alignment horizontal="center" vertical="center" wrapText="1"/>
      <protection/>
    </xf>
    <xf numFmtId="0" fontId="6" fillId="33" borderId="24" xfId="0" applyFont="1" applyFill="1" applyBorder="1" applyAlignment="1">
      <alignment horizontal="center"/>
    </xf>
    <xf numFmtId="1" fontId="6" fillId="33" borderId="23" xfId="0" applyNumberFormat="1" applyFont="1" applyFill="1" applyBorder="1" applyAlignment="1">
      <alignment horizontal="center"/>
    </xf>
    <xf numFmtId="1" fontId="12" fillId="33" borderId="22" xfId="55" applyNumberFormat="1" applyFont="1" applyFill="1" applyBorder="1" applyAlignment="1">
      <alignment horizontal="center" vertical="center" wrapText="1"/>
      <protection/>
    </xf>
    <xf numFmtId="0" fontId="7" fillId="0" borderId="25" xfId="0" applyFont="1" applyBorder="1" applyAlignment="1">
      <alignment/>
    </xf>
    <xf numFmtId="0" fontId="7" fillId="0" borderId="0" xfId="0" applyFont="1" applyBorder="1" applyAlignment="1">
      <alignment/>
    </xf>
    <xf numFmtId="1" fontId="7" fillId="0" borderId="0" xfId="0" applyNumberFormat="1" applyFont="1" applyBorder="1" applyAlignment="1">
      <alignment/>
    </xf>
    <xf numFmtId="0" fontId="2" fillId="0" borderId="26" xfId="0" applyFont="1" applyBorder="1" applyAlignment="1">
      <alignment horizontal="center"/>
    </xf>
    <xf numFmtId="0" fontId="6" fillId="0" borderId="27" xfId="55" applyFont="1" applyBorder="1" applyAlignment="1">
      <alignment horizontal="left" wrapText="1"/>
      <protection/>
    </xf>
    <xf numFmtId="0" fontId="6" fillId="33" borderId="13" xfId="0" applyFont="1" applyFill="1" applyBorder="1" applyAlignment="1">
      <alignment horizontal="center" vertical="center"/>
    </xf>
    <xf numFmtId="0" fontId="6" fillId="33" borderId="26" xfId="0" applyFont="1" applyFill="1" applyBorder="1" applyAlignment="1">
      <alignment horizontal="center" vertical="center"/>
    </xf>
    <xf numFmtId="1" fontId="7" fillId="0" borderId="28" xfId="0" applyNumberFormat="1" applyFont="1" applyBorder="1" applyAlignment="1">
      <alignment/>
    </xf>
    <xf numFmtId="1" fontId="7" fillId="0" borderId="28" xfId="0" applyNumberFormat="1" applyFont="1" applyBorder="1" applyAlignment="1">
      <alignment/>
    </xf>
    <xf numFmtId="1" fontId="6" fillId="33" borderId="26" xfId="0" applyNumberFormat="1" applyFont="1" applyFill="1" applyBorder="1" applyAlignment="1">
      <alignment horizontal="center" vertical="center"/>
    </xf>
    <xf numFmtId="0" fontId="6" fillId="33" borderId="22" xfId="55" applyFont="1" applyFill="1" applyBorder="1" applyAlignment="1">
      <alignment horizontal="center" vertical="center" wrapText="1"/>
      <protection/>
    </xf>
    <xf numFmtId="1" fontId="6" fillId="33" borderId="27" xfId="0" applyNumberFormat="1" applyFont="1" applyFill="1" applyBorder="1" applyAlignment="1">
      <alignment horizontal="center" vertical="center"/>
    </xf>
    <xf numFmtId="0" fontId="6" fillId="0" borderId="18" xfId="0" applyFont="1" applyBorder="1" applyAlignment="1">
      <alignment horizontal="center" vertical="center"/>
    </xf>
    <xf numFmtId="1" fontId="6" fillId="0" borderId="17" xfId="0" applyNumberFormat="1" applyFont="1" applyBorder="1" applyAlignment="1">
      <alignment horizontal="center" vertical="center"/>
    </xf>
    <xf numFmtId="1" fontId="6" fillId="33" borderId="29" xfId="0" applyNumberFormat="1" applyFont="1" applyFill="1" applyBorder="1" applyAlignment="1">
      <alignment horizontal="center" vertical="center"/>
    </xf>
    <xf numFmtId="1" fontId="6" fillId="0" borderId="18" xfId="0" applyNumberFormat="1" applyFont="1" applyBorder="1" applyAlignment="1">
      <alignment horizontal="center"/>
    </xf>
    <xf numFmtId="1" fontId="12" fillId="0" borderId="15" xfId="0" applyNumberFormat="1" applyFont="1" applyBorder="1" applyAlignment="1">
      <alignment horizontal="center" vertical="center"/>
    </xf>
    <xf numFmtId="1" fontId="6" fillId="33" borderId="14" xfId="0" applyNumberFormat="1" applyFont="1" applyFill="1" applyBorder="1" applyAlignment="1">
      <alignment horizontal="center"/>
    </xf>
    <xf numFmtId="1" fontId="6" fillId="33" borderId="18" xfId="0" applyNumberFormat="1" applyFont="1" applyFill="1" applyBorder="1" applyAlignment="1">
      <alignment horizontal="center" vertical="center"/>
    </xf>
    <xf numFmtId="1" fontId="6" fillId="33" borderId="12" xfId="0" applyNumberFormat="1" applyFont="1" applyFill="1" applyBorder="1" applyAlignment="1">
      <alignment horizontal="center"/>
    </xf>
    <xf numFmtId="0" fontId="6" fillId="0" borderId="10" xfId="0" applyFont="1" applyBorder="1" applyAlignment="1">
      <alignment horizontal="center" vertical="center"/>
    </xf>
    <xf numFmtId="1" fontId="7" fillId="0" borderId="30" xfId="0" applyNumberFormat="1" applyFont="1" applyBorder="1" applyAlignment="1">
      <alignment horizontal="center" vertical="center"/>
    </xf>
    <xf numFmtId="1" fontId="7" fillId="0" borderId="30" xfId="0" applyNumberFormat="1" applyFont="1" applyBorder="1" applyAlignment="1">
      <alignment horizontal="center" vertical="center"/>
    </xf>
    <xf numFmtId="1" fontId="6" fillId="0" borderId="15" xfId="0" applyNumberFormat="1" applyFont="1" applyBorder="1" applyAlignment="1">
      <alignment horizontal="center" vertical="center"/>
    </xf>
    <xf numFmtId="1" fontId="6" fillId="0" borderId="14" xfId="0" applyNumberFormat="1" applyFont="1" applyBorder="1" applyAlignment="1">
      <alignment horizontal="center" vertical="center"/>
    </xf>
    <xf numFmtId="0" fontId="6" fillId="0" borderId="13" xfId="0" applyFont="1" applyBorder="1" applyAlignment="1">
      <alignment horizontal="center"/>
    </xf>
    <xf numFmtId="0" fontId="6" fillId="33" borderId="26" xfId="0" applyFont="1" applyFill="1" applyBorder="1" applyAlignment="1">
      <alignment horizontal="center"/>
    </xf>
    <xf numFmtId="0" fontId="6" fillId="33" borderId="26" xfId="55" applyFont="1" applyFill="1" applyBorder="1" applyAlignment="1">
      <alignment horizontal="center" vertical="center" wrapText="1"/>
      <protection/>
    </xf>
    <xf numFmtId="0" fontId="6" fillId="33" borderId="18" xfId="0" applyFont="1" applyFill="1" applyBorder="1" applyAlignment="1">
      <alignment horizontal="center"/>
    </xf>
    <xf numFmtId="1" fontId="7" fillId="0" borderId="29" xfId="0" applyNumberFormat="1" applyFont="1" applyBorder="1" applyAlignment="1">
      <alignment/>
    </xf>
    <xf numFmtId="1" fontId="7" fillId="0" borderId="29" xfId="0" applyNumberFormat="1" applyFont="1" applyBorder="1" applyAlignment="1">
      <alignment/>
    </xf>
    <xf numFmtId="1" fontId="12" fillId="33" borderId="27" xfId="55" applyNumberFormat="1" applyFont="1" applyFill="1" applyBorder="1" applyAlignment="1">
      <alignment horizontal="center" vertical="center" wrapText="1"/>
      <protection/>
    </xf>
    <xf numFmtId="1" fontId="6" fillId="0" borderId="27" xfId="0" applyNumberFormat="1" applyFont="1" applyBorder="1" applyAlignment="1">
      <alignment horizontal="center"/>
    </xf>
    <xf numFmtId="1" fontId="6" fillId="0" borderId="27" xfId="0" applyNumberFormat="1" applyFont="1" applyBorder="1" applyAlignment="1">
      <alignment horizontal="center" vertical="center"/>
    </xf>
    <xf numFmtId="1" fontId="6" fillId="33" borderId="22" xfId="55" applyNumberFormat="1" applyFont="1" applyFill="1" applyBorder="1" applyAlignment="1">
      <alignment horizontal="center" vertical="center" wrapText="1"/>
      <protection/>
    </xf>
    <xf numFmtId="2" fontId="7" fillId="0" borderId="0" xfId="0" applyNumberFormat="1" applyFont="1" applyAlignment="1">
      <alignment/>
    </xf>
    <xf numFmtId="1" fontId="6" fillId="0" borderId="16" xfId="0" applyNumberFormat="1" applyFont="1" applyBorder="1" applyAlignment="1">
      <alignment horizontal="center"/>
    </xf>
    <xf numFmtId="1" fontId="6" fillId="33" borderId="17" xfId="0" applyNumberFormat="1" applyFont="1" applyFill="1" applyBorder="1" applyAlignment="1">
      <alignment horizontal="center" vertical="center"/>
    </xf>
    <xf numFmtId="1" fontId="6" fillId="0" borderId="12" xfId="0" applyNumberFormat="1" applyFont="1" applyBorder="1" applyAlignment="1">
      <alignment horizontal="center" vertical="center"/>
    </xf>
    <xf numFmtId="1" fontId="6" fillId="0" borderId="26" xfId="0" applyNumberFormat="1" applyFont="1" applyBorder="1" applyAlignment="1">
      <alignment horizontal="center"/>
    </xf>
    <xf numFmtId="0" fontId="8" fillId="0" borderId="0" xfId="55" applyFont="1" applyAlignment="1">
      <alignment horizontal="center" vertical="center" wrapText="1"/>
      <protection/>
    </xf>
    <xf numFmtId="0" fontId="8" fillId="0" borderId="0" xfId="0" applyFont="1" applyBorder="1" applyAlignment="1">
      <alignment horizontal="center"/>
    </xf>
    <xf numFmtId="0" fontId="4" fillId="0" borderId="28" xfId="0" applyFont="1" applyBorder="1" applyAlignment="1">
      <alignment horizont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0" xfId="0" applyFont="1" applyBorder="1" applyAlignment="1">
      <alignment horizontal="center" vertical="center" wrapText="1"/>
    </xf>
    <xf numFmtId="2" fontId="6" fillId="33" borderId="41" xfId="0" applyNumberFormat="1"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2" fontId="6" fillId="33" borderId="42" xfId="0" applyNumberFormat="1" applyFont="1" applyFill="1" applyBorder="1" applyAlignment="1">
      <alignment horizontal="center" vertical="center" wrapText="1"/>
    </xf>
    <xf numFmtId="2" fontId="6" fillId="33" borderId="14" xfId="0" applyNumberFormat="1" applyFont="1" applyFill="1" applyBorder="1" applyAlignment="1">
      <alignment horizontal="center" vertical="center" wrapText="1"/>
    </xf>
    <xf numFmtId="2" fontId="6" fillId="33" borderId="43" xfId="0" applyNumberFormat="1" applyFont="1" applyFill="1" applyBorder="1" applyAlignment="1">
      <alignment horizontal="center" vertical="center" wrapText="1"/>
    </xf>
    <xf numFmtId="2" fontId="6" fillId="33" borderId="16" xfId="0" applyNumberFormat="1" applyFont="1" applyFill="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4" fillId="0" borderId="0" xfId="0" applyFont="1" applyAlignment="1">
      <alignment horizontal="left"/>
    </xf>
    <xf numFmtId="2" fontId="6" fillId="33" borderId="47" xfId="0" applyNumberFormat="1" applyFont="1" applyFill="1" applyBorder="1" applyAlignment="1">
      <alignment horizontal="center" vertical="center" wrapText="1"/>
    </xf>
    <xf numFmtId="2" fontId="6" fillId="33" borderId="48" xfId="0" applyNumberFormat="1" applyFont="1" applyFill="1" applyBorder="1" applyAlignment="1">
      <alignment horizontal="center" vertical="center" wrapText="1"/>
    </xf>
    <xf numFmtId="2" fontId="12" fillId="33" borderId="41" xfId="0" applyNumberFormat="1" applyFont="1" applyFill="1" applyBorder="1" applyAlignment="1">
      <alignment horizontal="center" vertical="center" wrapText="1"/>
    </xf>
    <xf numFmtId="2" fontId="12" fillId="33" borderId="12"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AF47"/>
  <sheetViews>
    <sheetView zoomScale="80" zoomScaleNormal="80" zoomScalePageLayoutView="0" workbookViewId="0" topLeftCell="A4">
      <selection activeCell="A9" sqref="A9:N39"/>
    </sheetView>
  </sheetViews>
  <sheetFormatPr defaultColWidth="9.140625" defaultRowHeight="15"/>
  <cols>
    <col min="1" max="1" width="9.140625" style="4" customWidth="1"/>
    <col min="2" max="2" width="13.57421875" style="5" hidden="1" customWidth="1"/>
    <col min="3" max="3" width="59.8515625" style="4" customWidth="1"/>
    <col min="4" max="4" width="14.00390625" style="4" customWidth="1"/>
    <col min="5" max="5" width="15.00390625" style="21" hidden="1" customWidth="1"/>
    <col min="6" max="6" width="17.421875" style="4" customWidth="1"/>
    <col min="7" max="7" width="17.421875" style="4" hidden="1" customWidth="1"/>
    <col min="8" max="9" width="0" style="4" hidden="1" customWidth="1"/>
    <col min="10" max="10" width="17.421875" style="4" hidden="1" customWidth="1"/>
    <col min="11" max="11" width="17.421875" style="12" customWidth="1"/>
    <col min="12" max="13" width="17.421875" style="4" customWidth="1"/>
    <col min="14" max="14" width="15.00390625" style="21" customWidth="1"/>
    <col min="15" max="15" width="9.140625" style="4" customWidth="1"/>
    <col min="16" max="23" width="14.7109375" style="4" customWidth="1"/>
    <col min="24" max="24" width="17.8515625" style="4" customWidth="1"/>
    <col min="25" max="31" width="14.7109375" style="4" customWidth="1"/>
    <col min="32" max="32" width="59.8515625" style="4" customWidth="1"/>
    <col min="33" max="16384" width="9.140625" style="4" customWidth="1"/>
  </cols>
  <sheetData>
    <row r="2" spans="3:32" ht="31.5" customHeight="1">
      <c r="C2" s="6"/>
      <c r="D2" s="7"/>
      <c r="E2" s="19"/>
      <c r="F2" s="12"/>
      <c r="N2" s="19"/>
      <c r="AF2" s="6"/>
    </row>
    <row r="3" spans="1:14" s="14" customFormat="1" ht="15.75">
      <c r="A3" s="13"/>
      <c r="B3" s="13"/>
      <c r="D3" s="15"/>
      <c r="E3" s="20"/>
      <c r="N3" s="20"/>
    </row>
    <row r="4" spans="1:14" s="14" customFormat="1" ht="15.75">
      <c r="A4" s="13"/>
      <c r="B4" s="13"/>
      <c r="D4" s="15"/>
      <c r="E4" s="20"/>
      <c r="N4" s="20"/>
    </row>
    <row r="5" spans="1:14" s="14" customFormat="1" ht="15.75">
      <c r="A5" s="13"/>
      <c r="B5" s="13"/>
      <c r="D5" s="15"/>
      <c r="E5" s="20"/>
      <c r="N5" s="20"/>
    </row>
    <row r="6" spans="1:14" s="14" customFormat="1" ht="15.75">
      <c r="A6" s="13"/>
      <c r="B6" s="13"/>
      <c r="D6" s="15"/>
      <c r="E6" s="20"/>
      <c r="N6" s="20"/>
    </row>
    <row r="7" spans="1:14" s="14" customFormat="1" ht="15.75">
      <c r="A7" s="13"/>
      <c r="B7" s="13"/>
      <c r="D7" s="15"/>
      <c r="E7" s="20"/>
      <c r="N7" s="20"/>
    </row>
    <row r="8" spans="1:14" s="14" customFormat="1" ht="15.75">
      <c r="A8" s="13"/>
      <c r="B8" s="13"/>
      <c r="D8" s="15"/>
      <c r="E8" s="20"/>
      <c r="N8" s="20"/>
    </row>
    <row r="9" spans="1:14" ht="29.25" customHeight="1">
      <c r="A9" s="97" t="s">
        <v>24</v>
      </c>
      <c r="B9" s="97"/>
      <c r="C9" s="97"/>
      <c r="D9" s="97"/>
      <c r="E9" s="97"/>
      <c r="F9" s="97"/>
      <c r="G9" s="97"/>
      <c r="N9" s="4"/>
    </row>
    <row r="10" spans="1:14" ht="18.75">
      <c r="A10" s="98" t="s">
        <v>85</v>
      </c>
      <c r="B10" s="98"/>
      <c r="C10" s="98"/>
      <c r="D10" s="98"/>
      <c r="E10" s="98"/>
      <c r="F10" s="98"/>
      <c r="G10" s="98"/>
      <c r="N10" s="4"/>
    </row>
    <row r="11" spans="1:14" ht="19.5">
      <c r="A11" s="98" t="s">
        <v>87</v>
      </c>
      <c r="B11" s="98"/>
      <c r="C11" s="98"/>
      <c r="D11" s="98"/>
      <c r="E11" s="98"/>
      <c r="F11" s="98"/>
      <c r="G11" s="98"/>
      <c r="N11" s="4"/>
    </row>
    <row r="12" spans="3:31" ht="84" customHeight="1" thickBot="1">
      <c r="C12" s="4" t="s">
        <v>0</v>
      </c>
      <c r="P12" s="99" t="s">
        <v>64</v>
      </c>
      <c r="Q12" s="99"/>
      <c r="R12" s="99"/>
      <c r="S12" s="99"/>
      <c r="T12" s="99"/>
      <c r="U12" s="99"/>
      <c r="V12" s="99"/>
      <c r="W12" s="99"/>
      <c r="X12" s="99"/>
      <c r="Y12" s="99"/>
      <c r="Z12" s="99"/>
      <c r="AA12" s="99"/>
      <c r="AB12" s="99"/>
      <c r="AC12" s="99"/>
      <c r="AD12" s="99"/>
      <c r="AE12" s="99"/>
    </row>
    <row r="13" spans="1:32" ht="15" customHeight="1">
      <c r="A13" s="100" t="s">
        <v>18</v>
      </c>
      <c r="B13" s="103" t="s">
        <v>19</v>
      </c>
      <c r="C13" s="106" t="s">
        <v>1</v>
      </c>
      <c r="D13" s="109" t="s">
        <v>96</v>
      </c>
      <c r="E13" s="111" t="s">
        <v>97</v>
      </c>
      <c r="F13" s="111" t="s">
        <v>101</v>
      </c>
      <c r="G13" s="113" t="s">
        <v>50</v>
      </c>
      <c r="J13" s="111" t="s">
        <v>59</v>
      </c>
      <c r="K13" s="111" t="s">
        <v>58</v>
      </c>
      <c r="L13" s="111" t="s">
        <v>60</v>
      </c>
      <c r="M13" s="113" t="s">
        <v>102</v>
      </c>
      <c r="N13" s="115" t="s">
        <v>97</v>
      </c>
      <c r="P13" s="113" t="s">
        <v>72</v>
      </c>
      <c r="Q13" s="113" t="s">
        <v>74</v>
      </c>
      <c r="R13" s="113" t="s">
        <v>91</v>
      </c>
      <c r="S13" s="113" t="s">
        <v>62</v>
      </c>
      <c r="T13" s="113" t="s">
        <v>74</v>
      </c>
      <c r="U13" s="113" t="s">
        <v>92</v>
      </c>
      <c r="V13" s="113" t="s">
        <v>76</v>
      </c>
      <c r="W13" s="113" t="s">
        <v>74</v>
      </c>
      <c r="X13" s="113" t="s">
        <v>98</v>
      </c>
      <c r="Y13" s="113" t="s">
        <v>73</v>
      </c>
      <c r="Z13" s="113" t="s">
        <v>74</v>
      </c>
      <c r="AA13" s="113" t="s">
        <v>93</v>
      </c>
      <c r="AB13" s="113" t="s">
        <v>83</v>
      </c>
      <c r="AC13" s="113" t="s">
        <v>74</v>
      </c>
      <c r="AD13" s="113" t="s">
        <v>71</v>
      </c>
      <c r="AE13" s="113" t="s">
        <v>75</v>
      </c>
      <c r="AF13" s="117" t="s">
        <v>1</v>
      </c>
    </row>
    <row r="14" spans="1:32" ht="15" customHeight="1">
      <c r="A14" s="101"/>
      <c r="B14" s="104"/>
      <c r="C14" s="107"/>
      <c r="D14" s="110"/>
      <c r="E14" s="112"/>
      <c r="F14" s="112"/>
      <c r="G14" s="114"/>
      <c r="J14" s="112"/>
      <c r="K14" s="112"/>
      <c r="L14" s="112"/>
      <c r="M14" s="114"/>
      <c r="N14" s="116"/>
      <c r="P14" s="114"/>
      <c r="Q14" s="114"/>
      <c r="R14" s="114"/>
      <c r="S14" s="114"/>
      <c r="T14" s="114"/>
      <c r="U14" s="114"/>
      <c r="V14" s="114"/>
      <c r="W14" s="114"/>
      <c r="X14" s="114"/>
      <c r="Y14" s="114"/>
      <c r="Z14" s="114"/>
      <c r="AA14" s="114"/>
      <c r="AB14" s="114"/>
      <c r="AC14" s="114"/>
      <c r="AD14" s="114"/>
      <c r="AE14" s="114"/>
      <c r="AF14" s="118"/>
    </row>
    <row r="15" spans="1:32" ht="15.75" customHeight="1">
      <c r="A15" s="101"/>
      <c r="B15" s="104"/>
      <c r="C15" s="107"/>
      <c r="D15" s="110"/>
      <c r="E15" s="112"/>
      <c r="F15" s="112"/>
      <c r="G15" s="114"/>
      <c r="J15" s="112"/>
      <c r="K15" s="112"/>
      <c r="L15" s="112"/>
      <c r="M15" s="114"/>
      <c r="N15" s="116"/>
      <c r="P15" s="114"/>
      <c r="Q15" s="114"/>
      <c r="R15" s="114"/>
      <c r="S15" s="114"/>
      <c r="T15" s="114"/>
      <c r="U15" s="114"/>
      <c r="V15" s="114"/>
      <c r="W15" s="114"/>
      <c r="X15" s="114"/>
      <c r="Y15" s="114"/>
      <c r="Z15" s="114"/>
      <c r="AA15" s="114"/>
      <c r="AB15" s="114"/>
      <c r="AC15" s="114"/>
      <c r="AD15" s="114"/>
      <c r="AE15" s="114"/>
      <c r="AF15" s="118"/>
    </row>
    <row r="16" spans="1:32" ht="15.75" customHeight="1">
      <c r="A16" s="101"/>
      <c r="B16" s="104"/>
      <c r="C16" s="107"/>
      <c r="D16" s="110"/>
      <c r="E16" s="112"/>
      <c r="F16" s="112"/>
      <c r="G16" s="114"/>
      <c r="J16" s="112"/>
      <c r="K16" s="112"/>
      <c r="L16" s="112"/>
      <c r="M16" s="114"/>
      <c r="N16" s="116"/>
      <c r="P16" s="114"/>
      <c r="Q16" s="114"/>
      <c r="R16" s="114"/>
      <c r="S16" s="114"/>
      <c r="T16" s="114"/>
      <c r="U16" s="114"/>
      <c r="V16" s="114"/>
      <c r="W16" s="114"/>
      <c r="X16" s="114"/>
      <c r="Y16" s="114"/>
      <c r="Z16" s="114"/>
      <c r="AA16" s="114"/>
      <c r="AB16" s="114"/>
      <c r="AC16" s="114"/>
      <c r="AD16" s="114"/>
      <c r="AE16" s="114"/>
      <c r="AF16" s="118"/>
    </row>
    <row r="17" spans="1:32" ht="15.75" customHeight="1">
      <c r="A17" s="101"/>
      <c r="B17" s="104"/>
      <c r="C17" s="107"/>
      <c r="D17" s="110"/>
      <c r="E17" s="112"/>
      <c r="F17" s="112"/>
      <c r="G17" s="114"/>
      <c r="J17" s="112"/>
      <c r="K17" s="112"/>
      <c r="L17" s="112"/>
      <c r="M17" s="114"/>
      <c r="N17" s="116"/>
      <c r="P17" s="114"/>
      <c r="Q17" s="114"/>
      <c r="R17" s="114"/>
      <c r="S17" s="114"/>
      <c r="T17" s="114"/>
      <c r="U17" s="114"/>
      <c r="V17" s="114"/>
      <c r="W17" s="114"/>
      <c r="X17" s="114"/>
      <c r="Y17" s="114"/>
      <c r="Z17" s="114"/>
      <c r="AA17" s="114"/>
      <c r="AB17" s="114"/>
      <c r="AC17" s="114"/>
      <c r="AD17" s="114"/>
      <c r="AE17" s="114"/>
      <c r="AF17" s="118"/>
    </row>
    <row r="18" spans="1:32" ht="177.75" customHeight="1">
      <c r="A18" s="102"/>
      <c r="B18" s="105"/>
      <c r="C18" s="108"/>
      <c r="D18" s="110"/>
      <c r="E18" s="112"/>
      <c r="F18" s="112"/>
      <c r="G18" s="114"/>
      <c r="J18" s="112"/>
      <c r="K18" s="112"/>
      <c r="L18" s="112"/>
      <c r="M18" s="114"/>
      <c r="N18" s="116"/>
      <c r="P18" s="114"/>
      <c r="Q18" s="114"/>
      <c r="R18" s="114"/>
      <c r="S18" s="114"/>
      <c r="T18" s="114"/>
      <c r="U18" s="114"/>
      <c r="V18" s="114"/>
      <c r="W18" s="114"/>
      <c r="X18" s="114"/>
      <c r="Y18" s="114"/>
      <c r="Z18" s="114"/>
      <c r="AA18" s="114"/>
      <c r="AB18" s="114"/>
      <c r="AC18" s="114"/>
      <c r="AD18" s="114"/>
      <c r="AE18" s="114"/>
      <c r="AF18" s="119"/>
    </row>
    <row r="19" spans="1:32" ht="15.75" customHeight="1">
      <c r="A19" s="2" t="s">
        <v>29</v>
      </c>
      <c r="B19" s="10" t="s">
        <v>21</v>
      </c>
      <c r="C19" s="25" t="s">
        <v>3</v>
      </c>
      <c r="D19" s="27">
        <v>272</v>
      </c>
      <c r="E19" s="40">
        <f>F19+G19</f>
        <v>1219.9</v>
      </c>
      <c r="F19" s="8">
        <v>1109</v>
      </c>
      <c r="G19" s="46">
        <f>F19*10%</f>
        <v>110.9</v>
      </c>
      <c r="H19" s="18"/>
      <c r="I19" s="18">
        <f>118+36+96+54</f>
        <v>304</v>
      </c>
      <c r="J19" s="8">
        <v>1109</v>
      </c>
      <c r="K19" s="39">
        <f>AE19</f>
        <v>132.70000000000002</v>
      </c>
      <c r="L19" s="39">
        <f>J19+K19</f>
        <v>1241.7</v>
      </c>
      <c r="M19" s="46">
        <f>J19*10%</f>
        <v>110.9</v>
      </c>
      <c r="N19" s="93">
        <f>L19+M19</f>
        <v>1352.6000000000001</v>
      </c>
      <c r="P19" s="24">
        <f>31+28</f>
        <v>59</v>
      </c>
      <c r="Q19" s="24">
        <v>0.7</v>
      </c>
      <c r="R19" s="24">
        <f>P19*Q19</f>
        <v>41.3</v>
      </c>
      <c r="S19" s="24">
        <v>0</v>
      </c>
      <c r="T19" s="24">
        <v>1</v>
      </c>
      <c r="U19" s="24">
        <f>S19*T19</f>
        <v>0</v>
      </c>
      <c r="V19" s="41">
        <v>65.85</v>
      </c>
      <c r="W19" s="24">
        <v>90</v>
      </c>
      <c r="X19" s="24">
        <f>W19</f>
        <v>90</v>
      </c>
      <c r="Y19" s="24">
        <v>2</v>
      </c>
      <c r="Z19" s="24">
        <v>0.7</v>
      </c>
      <c r="AA19" s="24">
        <f>Y19*Z19</f>
        <v>1.4</v>
      </c>
      <c r="AB19" s="24">
        <v>0</v>
      </c>
      <c r="AC19" s="24">
        <v>70</v>
      </c>
      <c r="AD19" s="24">
        <f>AB19*AC19</f>
        <v>0</v>
      </c>
      <c r="AE19" s="46">
        <f>SUM(R19+U19+X19+AA19+AD19)</f>
        <v>132.70000000000002</v>
      </c>
      <c r="AF19" s="34" t="s">
        <v>3</v>
      </c>
    </row>
    <row r="20" spans="1:32" ht="15.75">
      <c r="A20" s="2" t="s">
        <v>30</v>
      </c>
      <c r="B20" s="10" t="s">
        <v>21</v>
      </c>
      <c r="C20" s="25" t="s">
        <v>4</v>
      </c>
      <c r="D20" s="27">
        <v>742</v>
      </c>
      <c r="E20" s="40">
        <f aca="true" t="shared" si="0" ref="E20:E37">F20+G20</f>
        <v>1335.4</v>
      </c>
      <c r="F20" s="8">
        <v>1214</v>
      </c>
      <c r="G20" s="46">
        <f aca="true" t="shared" si="1" ref="G20:G37">F20*10%</f>
        <v>121.4</v>
      </c>
      <c r="H20" s="18"/>
      <c r="I20" s="18">
        <f>551+137+26</f>
        <v>714</v>
      </c>
      <c r="J20" s="8">
        <v>1214</v>
      </c>
      <c r="K20" s="39">
        <f aca="true" t="shared" si="2" ref="K20:K37">AE20</f>
        <v>159.29999999999998</v>
      </c>
      <c r="L20" s="39">
        <f aca="true" t="shared" si="3" ref="L20:L37">J20+K20</f>
        <v>1373.3</v>
      </c>
      <c r="M20" s="46">
        <f aca="true" t="shared" si="4" ref="M20:M34">J20*10%</f>
        <v>121.4</v>
      </c>
      <c r="N20" s="93">
        <v>1494</v>
      </c>
      <c r="P20" s="24">
        <f>71+26</f>
        <v>97</v>
      </c>
      <c r="Q20" s="24">
        <v>0.7</v>
      </c>
      <c r="R20" s="24">
        <f aca="true" t="shared" si="5" ref="R20:R37">P20*Q20</f>
        <v>67.89999999999999</v>
      </c>
      <c r="S20" s="24">
        <v>0</v>
      </c>
      <c r="T20" s="24">
        <v>1</v>
      </c>
      <c r="U20" s="24">
        <f aca="true" t="shared" si="6" ref="U20:U37">S20*T20</f>
        <v>0</v>
      </c>
      <c r="V20" s="41">
        <v>70</v>
      </c>
      <c r="W20" s="24">
        <v>90</v>
      </c>
      <c r="X20" s="24">
        <f aca="true" t="shared" si="7" ref="X20:X37">W20</f>
        <v>90</v>
      </c>
      <c r="Y20" s="24">
        <v>2</v>
      </c>
      <c r="Z20" s="24">
        <v>0.7</v>
      </c>
      <c r="AA20" s="24">
        <f aca="true" t="shared" si="8" ref="AA20:AA37">Y20*Z20</f>
        <v>1.4</v>
      </c>
      <c r="AB20" s="24">
        <v>0</v>
      </c>
      <c r="AC20" s="24">
        <v>70</v>
      </c>
      <c r="AD20" s="24">
        <f aca="true" t="shared" si="9" ref="AD20:AD37">AB20*AC20</f>
        <v>0</v>
      </c>
      <c r="AE20" s="46">
        <f>SUM(R20+U20+X20+AA20+AD20)</f>
        <v>159.29999999999998</v>
      </c>
      <c r="AF20" s="34" t="s">
        <v>4</v>
      </c>
    </row>
    <row r="21" spans="1:32" ht="15.75">
      <c r="A21" s="2" t="s">
        <v>31</v>
      </c>
      <c r="B21" s="10" t="s">
        <v>21</v>
      </c>
      <c r="C21" s="25" t="s">
        <v>5</v>
      </c>
      <c r="D21" s="29">
        <v>786</v>
      </c>
      <c r="E21" s="76">
        <f t="shared" si="0"/>
        <v>1335.4</v>
      </c>
      <c r="F21" s="30">
        <v>1214</v>
      </c>
      <c r="G21" s="74">
        <f t="shared" si="1"/>
        <v>121.4</v>
      </c>
      <c r="H21" s="18"/>
      <c r="I21" s="18">
        <f>260+386+153</f>
        <v>799</v>
      </c>
      <c r="J21" s="30">
        <v>1214</v>
      </c>
      <c r="K21" s="39">
        <f t="shared" si="2"/>
        <v>160</v>
      </c>
      <c r="L21" s="39">
        <f t="shared" si="3"/>
        <v>1374</v>
      </c>
      <c r="M21" s="74">
        <f t="shared" si="4"/>
        <v>121.4</v>
      </c>
      <c r="N21" s="93">
        <f aca="true" t="shared" si="10" ref="N21:N38">L21+M21</f>
        <v>1495.4</v>
      </c>
      <c r="P21" s="31">
        <f>73+27</f>
        <v>100</v>
      </c>
      <c r="Q21" s="24">
        <v>0.7</v>
      </c>
      <c r="R21" s="24">
        <f t="shared" si="5"/>
        <v>70</v>
      </c>
      <c r="S21" s="31">
        <v>0</v>
      </c>
      <c r="T21" s="24">
        <v>1</v>
      </c>
      <c r="U21" s="24">
        <f t="shared" si="6"/>
        <v>0</v>
      </c>
      <c r="V21" s="42">
        <v>63.01</v>
      </c>
      <c r="W21" s="31">
        <v>90</v>
      </c>
      <c r="X21" s="24">
        <f t="shared" si="7"/>
        <v>90</v>
      </c>
      <c r="Y21" s="31">
        <v>0</v>
      </c>
      <c r="Z21" s="24">
        <v>0.7</v>
      </c>
      <c r="AA21" s="24">
        <f t="shared" si="8"/>
        <v>0</v>
      </c>
      <c r="AB21" s="31">
        <v>0</v>
      </c>
      <c r="AC21" s="24">
        <v>70</v>
      </c>
      <c r="AD21" s="24">
        <f t="shared" si="9"/>
        <v>0</v>
      </c>
      <c r="AE21" s="46">
        <f aca="true" t="shared" si="11" ref="AE21:AE36">SUM(R21+U21+X21+AA21+AD21)</f>
        <v>160</v>
      </c>
      <c r="AF21" s="34" t="s">
        <v>5</v>
      </c>
    </row>
    <row r="22" spans="1:32" ht="15.75">
      <c r="A22" s="2" t="s">
        <v>32</v>
      </c>
      <c r="B22" s="10" t="s">
        <v>21</v>
      </c>
      <c r="C22" s="25" t="s">
        <v>22</v>
      </c>
      <c r="D22" s="27">
        <v>625</v>
      </c>
      <c r="E22" s="40">
        <f t="shared" si="0"/>
        <v>1335.4</v>
      </c>
      <c r="F22" s="8">
        <v>1214</v>
      </c>
      <c r="G22" s="46">
        <f t="shared" si="1"/>
        <v>121.4</v>
      </c>
      <c r="H22" s="18"/>
      <c r="I22" s="18">
        <f>230+299+25+61</f>
        <v>615</v>
      </c>
      <c r="J22" s="8">
        <v>1214</v>
      </c>
      <c r="K22" s="39">
        <f t="shared" si="2"/>
        <v>128.1</v>
      </c>
      <c r="L22" s="39">
        <f t="shared" si="3"/>
        <v>1342.1</v>
      </c>
      <c r="M22" s="46">
        <f t="shared" si="4"/>
        <v>121.4</v>
      </c>
      <c r="N22" s="93">
        <v>1463</v>
      </c>
      <c r="P22" s="24">
        <f>58+24</f>
        <v>82</v>
      </c>
      <c r="Q22" s="24">
        <v>0.7</v>
      </c>
      <c r="R22" s="24">
        <f t="shared" si="5"/>
        <v>57.4</v>
      </c>
      <c r="S22" s="24">
        <v>0</v>
      </c>
      <c r="T22" s="24">
        <v>1</v>
      </c>
      <c r="U22" s="24">
        <f t="shared" si="6"/>
        <v>0</v>
      </c>
      <c r="V22" s="41">
        <v>51.91</v>
      </c>
      <c r="W22" s="24">
        <v>70</v>
      </c>
      <c r="X22" s="24">
        <f t="shared" si="7"/>
        <v>70</v>
      </c>
      <c r="Y22" s="24">
        <v>1</v>
      </c>
      <c r="Z22" s="24">
        <v>0.7</v>
      </c>
      <c r="AA22" s="24">
        <f t="shared" si="8"/>
        <v>0.7</v>
      </c>
      <c r="AB22" s="24">
        <v>0</v>
      </c>
      <c r="AC22" s="24">
        <v>70</v>
      </c>
      <c r="AD22" s="24">
        <f t="shared" si="9"/>
        <v>0</v>
      </c>
      <c r="AE22" s="46">
        <f t="shared" si="11"/>
        <v>128.1</v>
      </c>
      <c r="AF22" s="34" t="s">
        <v>22</v>
      </c>
    </row>
    <row r="23" spans="1:32" ht="15.75">
      <c r="A23" s="2" t="s">
        <v>33</v>
      </c>
      <c r="B23" s="10" t="s">
        <v>21</v>
      </c>
      <c r="C23" s="25" t="s">
        <v>16</v>
      </c>
      <c r="D23" s="27">
        <f>248+57</f>
        <v>305</v>
      </c>
      <c r="E23" s="40">
        <f t="shared" si="0"/>
        <v>1278.2</v>
      </c>
      <c r="F23" s="8">
        <v>1162</v>
      </c>
      <c r="G23" s="46">
        <f t="shared" si="1"/>
        <v>116.2</v>
      </c>
      <c r="H23" s="18"/>
      <c r="I23" s="18">
        <f>20+41+207+24+11+7+40+25</f>
        <v>375</v>
      </c>
      <c r="J23" s="8">
        <v>1162</v>
      </c>
      <c r="K23" s="39">
        <f t="shared" si="2"/>
        <v>138.6</v>
      </c>
      <c r="L23" s="39">
        <f t="shared" si="3"/>
        <v>1300.6</v>
      </c>
      <c r="M23" s="46">
        <f t="shared" si="4"/>
        <v>116.2</v>
      </c>
      <c r="N23" s="93">
        <f t="shared" si="10"/>
        <v>1416.8</v>
      </c>
      <c r="P23" s="24">
        <f>46+32</f>
        <v>78</v>
      </c>
      <c r="Q23" s="24">
        <v>0.7</v>
      </c>
      <c r="R23" s="24">
        <f t="shared" si="5"/>
        <v>54.599999999999994</v>
      </c>
      <c r="S23" s="24">
        <v>34</v>
      </c>
      <c r="T23" s="24">
        <v>1</v>
      </c>
      <c r="U23" s="24">
        <f t="shared" si="6"/>
        <v>34</v>
      </c>
      <c r="V23" s="41">
        <v>41.68</v>
      </c>
      <c r="W23" s="24">
        <v>50</v>
      </c>
      <c r="X23" s="24">
        <f t="shared" si="7"/>
        <v>50</v>
      </c>
      <c r="Y23" s="24">
        <v>0</v>
      </c>
      <c r="Z23" s="24">
        <v>0.7</v>
      </c>
      <c r="AA23" s="24">
        <f t="shared" si="8"/>
        <v>0</v>
      </c>
      <c r="AB23" s="24">
        <v>0</v>
      </c>
      <c r="AC23" s="24">
        <v>70</v>
      </c>
      <c r="AD23" s="24">
        <f t="shared" si="9"/>
        <v>0</v>
      </c>
      <c r="AE23" s="46">
        <f t="shared" si="11"/>
        <v>138.6</v>
      </c>
      <c r="AF23" s="34" t="s">
        <v>16</v>
      </c>
    </row>
    <row r="24" spans="1:32" ht="15.75">
      <c r="A24" s="2" t="s">
        <v>34</v>
      </c>
      <c r="B24" s="10" t="s">
        <v>21</v>
      </c>
      <c r="C24" s="25" t="s">
        <v>6</v>
      </c>
      <c r="D24" s="27">
        <v>641</v>
      </c>
      <c r="E24" s="40">
        <f t="shared" si="0"/>
        <v>1335.4</v>
      </c>
      <c r="F24" s="8">
        <v>1214</v>
      </c>
      <c r="G24" s="46">
        <f t="shared" si="1"/>
        <v>121.4</v>
      </c>
      <c r="H24" s="18"/>
      <c r="I24" s="18">
        <f>216+335+92</f>
        <v>643</v>
      </c>
      <c r="J24" s="8">
        <v>1214</v>
      </c>
      <c r="K24" s="39">
        <f t="shared" si="2"/>
        <v>133.7</v>
      </c>
      <c r="L24" s="39">
        <f t="shared" si="3"/>
        <v>1347.7</v>
      </c>
      <c r="M24" s="46">
        <f t="shared" si="4"/>
        <v>121.4</v>
      </c>
      <c r="N24" s="93">
        <f t="shared" si="10"/>
        <v>1469.1000000000001</v>
      </c>
      <c r="P24" s="24">
        <f>62+29</f>
        <v>91</v>
      </c>
      <c r="Q24" s="24">
        <v>0.7</v>
      </c>
      <c r="R24" s="24">
        <f t="shared" si="5"/>
        <v>63.699999999999996</v>
      </c>
      <c r="S24" s="24">
        <v>0</v>
      </c>
      <c r="T24" s="24">
        <v>1</v>
      </c>
      <c r="U24" s="24">
        <f t="shared" si="6"/>
        <v>0</v>
      </c>
      <c r="V24" s="41">
        <v>55.13</v>
      </c>
      <c r="W24" s="24">
        <v>70</v>
      </c>
      <c r="X24" s="24">
        <f t="shared" si="7"/>
        <v>70</v>
      </c>
      <c r="Y24" s="24">
        <v>0</v>
      </c>
      <c r="Z24" s="24">
        <v>0.7</v>
      </c>
      <c r="AA24" s="24">
        <f t="shared" si="8"/>
        <v>0</v>
      </c>
      <c r="AB24" s="24">
        <v>0</v>
      </c>
      <c r="AC24" s="24">
        <v>70</v>
      </c>
      <c r="AD24" s="24">
        <f t="shared" si="9"/>
        <v>0</v>
      </c>
      <c r="AE24" s="46">
        <f t="shared" si="11"/>
        <v>133.7</v>
      </c>
      <c r="AF24" s="34" t="s">
        <v>6</v>
      </c>
    </row>
    <row r="25" spans="1:32" ht="15.75">
      <c r="A25" s="2" t="s">
        <v>35</v>
      </c>
      <c r="B25" s="10" t="s">
        <v>21</v>
      </c>
      <c r="C25" s="25" t="s">
        <v>7</v>
      </c>
      <c r="D25" s="27">
        <v>601</v>
      </c>
      <c r="E25" s="40">
        <f t="shared" si="0"/>
        <v>1335.4</v>
      </c>
      <c r="F25" s="8">
        <v>1214</v>
      </c>
      <c r="G25" s="46">
        <f t="shared" si="1"/>
        <v>121.4</v>
      </c>
      <c r="H25" s="18"/>
      <c r="I25" s="18">
        <f>285+261+92+43</f>
        <v>681</v>
      </c>
      <c r="J25" s="8">
        <v>1214</v>
      </c>
      <c r="K25" s="39">
        <f t="shared" si="2"/>
        <v>113.7</v>
      </c>
      <c r="L25" s="39">
        <f t="shared" si="3"/>
        <v>1327.7</v>
      </c>
      <c r="M25" s="46">
        <f t="shared" si="4"/>
        <v>121.4</v>
      </c>
      <c r="N25" s="93">
        <f t="shared" si="10"/>
        <v>1449.1000000000001</v>
      </c>
      <c r="P25" s="24">
        <f>58+24</f>
        <v>82</v>
      </c>
      <c r="Q25" s="24">
        <v>0.7</v>
      </c>
      <c r="R25" s="24">
        <f t="shared" si="5"/>
        <v>57.4</v>
      </c>
      <c r="S25" s="24">
        <v>0</v>
      </c>
      <c r="T25" s="24">
        <v>1</v>
      </c>
      <c r="U25" s="24">
        <f t="shared" si="6"/>
        <v>0</v>
      </c>
      <c r="V25" s="41">
        <v>44.54</v>
      </c>
      <c r="W25" s="24">
        <v>50</v>
      </c>
      <c r="X25" s="24">
        <f t="shared" si="7"/>
        <v>50</v>
      </c>
      <c r="Y25" s="24">
        <v>9</v>
      </c>
      <c r="Z25" s="24">
        <v>0.7</v>
      </c>
      <c r="AA25" s="24">
        <f t="shared" si="8"/>
        <v>6.3</v>
      </c>
      <c r="AB25" s="24">
        <v>0</v>
      </c>
      <c r="AC25" s="24">
        <v>70</v>
      </c>
      <c r="AD25" s="24">
        <f t="shared" si="9"/>
        <v>0</v>
      </c>
      <c r="AE25" s="46">
        <f t="shared" si="11"/>
        <v>113.7</v>
      </c>
      <c r="AF25" s="34" t="s">
        <v>7</v>
      </c>
    </row>
    <row r="26" spans="1:32" ht="15.75">
      <c r="A26" s="2" t="s">
        <v>36</v>
      </c>
      <c r="B26" s="10" t="s">
        <v>21</v>
      </c>
      <c r="C26" s="25" t="s">
        <v>8</v>
      </c>
      <c r="D26" s="27">
        <v>612</v>
      </c>
      <c r="E26" s="40">
        <f t="shared" si="0"/>
        <v>1335.4</v>
      </c>
      <c r="F26" s="8">
        <v>1214</v>
      </c>
      <c r="G26" s="46">
        <f t="shared" si="1"/>
        <v>121.4</v>
      </c>
      <c r="H26" s="18"/>
      <c r="I26" s="18">
        <f>410+1+8+44+105+1</f>
        <v>569</v>
      </c>
      <c r="J26" s="8">
        <v>1214</v>
      </c>
      <c r="K26" s="39">
        <f t="shared" si="2"/>
        <v>209.1</v>
      </c>
      <c r="L26" s="39">
        <f t="shared" si="3"/>
        <v>1423.1</v>
      </c>
      <c r="M26" s="46">
        <f t="shared" si="4"/>
        <v>121.4</v>
      </c>
      <c r="N26" s="93">
        <v>1544</v>
      </c>
      <c r="P26" s="24">
        <f>52+25</f>
        <v>77</v>
      </c>
      <c r="Q26" s="24">
        <v>0.7</v>
      </c>
      <c r="R26" s="24">
        <f t="shared" si="5"/>
        <v>53.9</v>
      </c>
      <c r="S26" s="24">
        <v>11</v>
      </c>
      <c r="T26" s="24">
        <v>1</v>
      </c>
      <c r="U26" s="24">
        <f t="shared" si="6"/>
        <v>11</v>
      </c>
      <c r="V26" s="41">
        <v>51.84</v>
      </c>
      <c r="W26" s="24">
        <v>70</v>
      </c>
      <c r="X26" s="24">
        <f t="shared" si="7"/>
        <v>70</v>
      </c>
      <c r="Y26" s="24">
        <v>6</v>
      </c>
      <c r="Z26" s="24">
        <v>0.7</v>
      </c>
      <c r="AA26" s="24">
        <f t="shared" si="8"/>
        <v>4.199999999999999</v>
      </c>
      <c r="AB26" s="24">
        <v>1</v>
      </c>
      <c r="AC26" s="24">
        <v>70</v>
      </c>
      <c r="AD26" s="24">
        <f t="shared" si="9"/>
        <v>70</v>
      </c>
      <c r="AE26" s="46">
        <f t="shared" si="11"/>
        <v>209.1</v>
      </c>
      <c r="AF26" s="34" t="s">
        <v>8</v>
      </c>
    </row>
    <row r="27" spans="1:32" ht="15.75">
      <c r="A27" s="2" t="s">
        <v>37</v>
      </c>
      <c r="B27" s="10" t="s">
        <v>21</v>
      </c>
      <c r="C27" s="25" t="s">
        <v>9</v>
      </c>
      <c r="D27" s="27">
        <v>814</v>
      </c>
      <c r="E27" s="40">
        <f t="shared" si="0"/>
        <v>1393.7</v>
      </c>
      <c r="F27" s="8">
        <v>1267</v>
      </c>
      <c r="G27" s="46">
        <f t="shared" si="1"/>
        <v>126.7</v>
      </c>
      <c r="H27" s="18"/>
      <c r="I27" s="18">
        <f>198+464+71+46</f>
        <v>779</v>
      </c>
      <c r="J27" s="8">
        <v>1267</v>
      </c>
      <c r="K27" s="39">
        <f t="shared" si="2"/>
        <v>198.4</v>
      </c>
      <c r="L27" s="39">
        <f t="shared" si="3"/>
        <v>1465.4</v>
      </c>
      <c r="M27" s="46">
        <f t="shared" si="4"/>
        <v>126.7</v>
      </c>
      <c r="N27" s="93">
        <f t="shared" si="10"/>
        <v>1592.1000000000001</v>
      </c>
      <c r="P27" s="24">
        <f>84+26</f>
        <v>110</v>
      </c>
      <c r="Q27" s="24">
        <v>0.7</v>
      </c>
      <c r="R27" s="24">
        <f t="shared" si="5"/>
        <v>77</v>
      </c>
      <c r="S27" s="24">
        <v>0</v>
      </c>
      <c r="T27" s="24">
        <v>1</v>
      </c>
      <c r="U27" s="24">
        <f t="shared" si="6"/>
        <v>0</v>
      </c>
      <c r="V27" s="41">
        <v>42.71</v>
      </c>
      <c r="W27" s="24">
        <v>50</v>
      </c>
      <c r="X27" s="24">
        <f t="shared" si="7"/>
        <v>50</v>
      </c>
      <c r="Y27" s="24">
        <v>2</v>
      </c>
      <c r="Z27" s="24">
        <v>0.7</v>
      </c>
      <c r="AA27" s="24">
        <f t="shared" si="8"/>
        <v>1.4</v>
      </c>
      <c r="AB27" s="24">
        <v>1</v>
      </c>
      <c r="AC27" s="24">
        <v>70</v>
      </c>
      <c r="AD27" s="24">
        <f t="shared" si="9"/>
        <v>70</v>
      </c>
      <c r="AE27" s="46">
        <f t="shared" si="11"/>
        <v>198.4</v>
      </c>
      <c r="AF27" s="34" t="s">
        <v>9</v>
      </c>
    </row>
    <row r="28" spans="1:32" ht="15.75">
      <c r="A28" s="2" t="s">
        <v>38</v>
      </c>
      <c r="B28" s="10" t="s">
        <v>21</v>
      </c>
      <c r="C28" s="25" t="s">
        <v>10</v>
      </c>
      <c r="D28" s="27">
        <v>583</v>
      </c>
      <c r="E28" s="40">
        <f t="shared" si="0"/>
        <v>1335.4</v>
      </c>
      <c r="F28" s="8">
        <v>1214</v>
      </c>
      <c r="G28" s="46">
        <f t="shared" si="1"/>
        <v>121.4</v>
      </c>
      <c r="H28" s="18"/>
      <c r="I28" s="18">
        <f>564+80</f>
        <v>644</v>
      </c>
      <c r="J28" s="8">
        <v>1214</v>
      </c>
      <c r="K28" s="39">
        <f t="shared" si="2"/>
        <v>129.5</v>
      </c>
      <c r="L28" s="39">
        <f t="shared" si="3"/>
        <v>1343.5</v>
      </c>
      <c r="M28" s="46">
        <f t="shared" si="4"/>
        <v>121.4</v>
      </c>
      <c r="N28" s="93">
        <f t="shared" si="10"/>
        <v>1464.9</v>
      </c>
      <c r="P28" s="24">
        <f>54+28</f>
        <v>82</v>
      </c>
      <c r="Q28" s="24">
        <v>0.7</v>
      </c>
      <c r="R28" s="24">
        <f t="shared" si="5"/>
        <v>57.4</v>
      </c>
      <c r="S28" s="24">
        <v>0</v>
      </c>
      <c r="T28" s="24">
        <v>1</v>
      </c>
      <c r="U28" s="24">
        <f t="shared" si="6"/>
        <v>0</v>
      </c>
      <c r="V28" s="41">
        <v>48.66</v>
      </c>
      <c r="W28" s="24">
        <v>70</v>
      </c>
      <c r="X28" s="24">
        <f t="shared" si="7"/>
        <v>70</v>
      </c>
      <c r="Y28" s="24">
        <v>3</v>
      </c>
      <c r="Z28" s="24">
        <v>0.7</v>
      </c>
      <c r="AA28" s="24">
        <f t="shared" si="8"/>
        <v>2.0999999999999996</v>
      </c>
      <c r="AB28" s="24">
        <v>0</v>
      </c>
      <c r="AC28" s="24">
        <v>70</v>
      </c>
      <c r="AD28" s="24">
        <f t="shared" si="9"/>
        <v>0</v>
      </c>
      <c r="AE28" s="46">
        <f t="shared" si="11"/>
        <v>129.5</v>
      </c>
      <c r="AF28" s="34" t="s">
        <v>10</v>
      </c>
    </row>
    <row r="29" spans="1:32" ht="15.75">
      <c r="A29" s="2" t="s">
        <v>39</v>
      </c>
      <c r="B29" s="10" t="s">
        <v>21</v>
      </c>
      <c r="C29" s="25" t="s">
        <v>11</v>
      </c>
      <c r="D29" s="27">
        <f>573+120</f>
        <v>693</v>
      </c>
      <c r="E29" s="40">
        <f t="shared" si="0"/>
        <v>1335.4</v>
      </c>
      <c r="F29" s="8">
        <v>1214</v>
      </c>
      <c r="G29" s="46">
        <f t="shared" si="1"/>
        <v>121.4</v>
      </c>
      <c r="H29" s="18"/>
      <c r="I29" s="18">
        <f>80+504+16+35+56</f>
        <v>691</v>
      </c>
      <c r="J29" s="8">
        <v>1214</v>
      </c>
      <c r="K29" s="39">
        <f t="shared" si="2"/>
        <v>234.29999999999998</v>
      </c>
      <c r="L29" s="39">
        <f t="shared" si="3"/>
        <v>1448.3</v>
      </c>
      <c r="M29" s="46">
        <f t="shared" si="4"/>
        <v>121.4</v>
      </c>
      <c r="N29" s="93">
        <v>1569</v>
      </c>
      <c r="P29" s="24">
        <f>61+56</f>
        <v>117</v>
      </c>
      <c r="Q29" s="24">
        <v>0.7</v>
      </c>
      <c r="R29" s="24">
        <f t="shared" si="5"/>
        <v>81.89999999999999</v>
      </c>
      <c r="S29" s="24">
        <v>17</v>
      </c>
      <c r="T29" s="24">
        <v>1</v>
      </c>
      <c r="U29" s="24">
        <f t="shared" si="6"/>
        <v>17</v>
      </c>
      <c r="V29" s="41">
        <v>45.95</v>
      </c>
      <c r="W29" s="24">
        <v>50</v>
      </c>
      <c r="X29" s="24">
        <f t="shared" si="7"/>
        <v>50</v>
      </c>
      <c r="Y29" s="24">
        <v>22</v>
      </c>
      <c r="Z29" s="24">
        <v>0.7</v>
      </c>
      <c r="AA29" s="24">
        <f t="shared" si="8"/>
        <v>15.399999999999999</v>
      </c>
      <c r="AB29" s="24">
        <v>1</v>
      </c>
      <c r="AC29" s="24">
        <v>70</v>
      </c>
      <c r="AD29" s="24">
        <f t="shared" si="9"/>
        <v>70</v>
      </c>
      <c r="AE29" s="46">
        <f t="shared" si="11"/>
        <v>234.29999999999998</v>
      </c>
      <c r="AF29" s="34" t="s">
        <v>11</v>
      </c>
    </row>
    <row r="30" spans="1:32" ht="15.75">
      <c r="A30" s="2" t="s">
        <v>40</v>
      </c>
      <c r="B30" s="10" t="s">
        <v>21</v>
      </c>
      <c r="C30" s="25" t="s">
        <v>12</v>
      </c>
      <c r="D30" s="27">
        <f>269+407</f>
        <v>676</v>
      </c>
      <c r="E30" s="40">
        <f t="shared" si="0"/>
        <v>1393.7</v>
      </c>
      <c r="F30" s="8">
        <v>1267</v>
      </c>
      <c r="G30" s="46">
        <f t="shared" si="1"/>
        <v>126.7</v>
      </c>
      <c r="H30" s="18"/>
      <c r="I30" s="18">
        <f>198+10+35+95+69+269</f>
        <v>676</v>
      </c>
      <c r="J30" s="8">
        <v>1267</v>
      </c>
      <c r="K30" s="39">
        <f t="shared" si="2"/>
        <v>56.699999999999996</v>
      </c>
      <c r="L30" s="39">
        <f t="shared" si="3"/>
        <v>1323.7</v>
      </c>
      <c r="M30" s="46">
        <f t="shared" si="4"/>
        <v>126.7</v>
      </c>
      <c r="N30" s="93">
        <v>1451</v>
      </c>
      <c r="P30" s="24">
        <f>55+24</f>
        <v>79</v>
      </c>
      <c r="Q30" s="24">
        <v>0.7</v>
      </c>
      <c r="R30" s="24">
        <f t="shared" si="5"/>
        <v>55.3</v>
      </c>
      <c r="S30" s="24">
        <v>0</v>
      </c>
      <c r="T30" s="24">
        <v>1</v>
      </c>
      <c r="U30" s="24">
        <f t="shared" si="6"/>
        <v>0</v>
      </c>
      <c r="V30" s="41">
        <v>34</v>
      </c>
      <c r="W30" s="24">
        <v>0</v>
      </c>
      <c r="X30" s="24">
        <f t="shared" si="7"/>
        <v>0</v>
      </c>
      <c r="Y30" s="24">
        <v>2</v>
      </c>
      <c r="Z30" s="24">
        <v>0.7</v>
      </c>
      <c r="AA30" s="24">
        <f t="shared" si="8"/>
        <v>1.4</v>
      </c>
      <c r="AB30" s="24">
        <v>0</v>
      </c>
      <c r="AC30" s="24">
        <v>70</v>
      </c>
      <c r="AD30" s="24">
        <f t="shared" si="9"/>
        <v>0</v>
      </c>
      <c r="AE30" s="46">
        <f t="shared" si="11"/>
        <v>56.699999999999996</v>
      </c>
      <c r="AF30" s="34" t="s">
        <v>12</v>
      </c>
    </row>
    <row r="31" spans="1:32" ht="15.75">
      <c r="A31" s="2" t="s">
        <v>41</v>
      </c>
      <c r="B31" s="10" t="s">
        <v>21</v>
      </c>
      <c r="C31" s="25" t="s">
        <v>17</v>
      </c>
      <c r="D31" s="27">
        <v>398</v>
      </c>
      <c r="E31" s="40">
        <f t="shared" si="0"/>
        <v>1278.2</v>
      </c>
      <c r="F31" s="8">
        <v>1162</v>
      </c>
      <c r="G31" s="46">
        <f t="shared" si="1"/>
        <v>116.2</v>
      </c>
      <c r="H31" s="18"/>
      <c r="I31" s="18">
        <f>269+17+65</f>
        <v>351</v>
      </c>
      <c r="J31" s="8">
        <v>1162</v>
      </c>
      <c r="K31" s="39">
        <f t="shared" si="2"/>
        <v>180</v>
      </c>
      <c r="L31" s="39">
        <f t="shared" si="3"/>
        <v>1342</v>
      </c>
      <c r="M31" s="46">
        <f t="shared" si="4"/>
        <v>116.2</v>
      </c>
      <c r="N31" s="93">
        <f t="shared" si="10"/>
        <v>1458.2</v>
      </c>
      <c r="P31" s="24">
        <f>44+26</f>
        <v>70</v>
      </c>
      <c r="Q31" s="24">
        <v>0.7</v>
      </c>
      <c r="R31" s="24">
        <f t="shared" si="5"/>
        <v>49</v>
      </c>
      <c r="S31" s="24">
        <v>11</v>
      </c>
      <c r="T31" s="24">
        <v>1</v>
      </c>
      <c r="U31" s="24">
        <f t="shared" si="6"/>
        <v>11</v>
      </c>
      <c r="V31" s="41">
        <v>49.43</v>
      </c>
      <c r="W31" s="24">
        <v>50</v>
      </c>
      <c r="X31" s="24">
        <f t="shared" si="7"/>
        <v>50</v>
      </c>
      <c r="Y31" s="24">
        <v>0</v>
      </c>
      <c r="Z31" s="24">
        <v>0.7</v>
      </c>
      <c r="AA31" s="24">
        <f t="shared" si="8"/>
        <v>0</v>
      </c>
      <c r="AB31" s="24">
        <v>1</v>
      </c>
      <c r="AC31" s="24">
        <v>70</v>
      </c>
      <c r="AD31" s="24">
        <f t="shared" si="9"/>
        <v>70</v>
      </c>
      <c r="AE31" s="46">
        <f t="shared" si="11"/>
        <v>180</v>
      </c>
      <c r="AF31" s="34" t="s">
        <v>17</v>
      </c>
    </row>
    <row r="32" spans="1:32" ht="15.75">
      <c r="A32" s="2" t="s">
        <v>42</v>
      </c>
      <c r="B32" s="10" t="s">
        <v>21</v>
      </c>
      <c r="C32" s="25" t="s">
        <v>13</v>
      </c>
      <c r="D32" s="27">
        <v>231</v>
      </c>
      <c r="E32" s="40">
        <f t="shared" si="0"/>
        <v>1219.9</v>
      </c>
      <c r="F32" s="8">
        <v>1109</v>
      </c>
      <c r="G32" s="46">
        <f t="shared" si="1"/>
        <v>110.9</v>
      </c>
      <c r="H32" s="18"/>
      <c r="I32" s="18">
        <f>177+3+3+33+10+18</f>
        <v>244</v>
      </c>
      <c r="J32" s="8">
        <v>1109</v>
      </c>
      <c r="K32" s="39">
        <f t="shared" si="2"/>
        <v>144.2</v>
      </c>
      <c r="L32" s="39">
        <f t="shared" si="3"/>
        <v>1253.2</v>
      </c>
      <c r="M32" s="46">
        <f t="shared" si="4"/>
        <v>110.9</v>
      </c>
      <c r="N32" s="93">
        <f t="shared" si="10"/>
        <v>1364.1000000000001</v>
      </c>
      <c r="P32" s="24">
        <f>31+25</f>
        <v>56</v>
      </c>
      <c r="Q32" s="24">
        <v>0.7</v>
      </c>
      <c r="R32" s="24">
        <f t="shared" si="5"/>
        <v>39.199999999999996</v>
      </c>
      <c r="S32" s="24">
        <v>55</v>
      </c>
      <c r="T32" s="24">
        <v>1</v>
      </c>
      <c r="U32" s="24">
        <f t="shared" si="6"/>
        <v>55</v>
      </c>
      <c r="V32" s="42">
        <v>48.55</v>
      </c>
      <c r="W32" s="31">
        <v>50</v>
      </c>
      <c r="X32" s="31">
        <f t="shared" si="7"/>
        <v>50</v>
      </c>
      <c r="Y32" s="31">
        <v>0</v>
      </c>
      <c r="Z32" s="24">
        <v>0.7</v>
      </c>
      <c r="AA32" s="24">
        <f t="shared" si="8"/>
        <v>0</v>
      </c>
      <c r="AB32" s="24">
        <v>0</v>
      </c>
      <c r="AC32" s="24">
        <v>70</v>
      </c>
      <c r="AD32" s="24">
        <f t="shared" si="9"/>
        <v>0</v>
      </c>
      <c r="AE32" s="46">
        <f t="shared" si="11"/>
        <v>144.2</v>
      </c>
      <c r="AF32" s="34" t="s">
        <v>13</v>
      </c>
    </row>
    <row r="33" spans="1:32" ht="15.75">
      <c r="A33" s="2" t="s">
        <v>43</v>
      </c>
      <c r="B33" s="10" t="s">
        <v>21</v>
      </c>
      <c r="C33" s="25" t="s">
        <v>14</v>
      </c>
      <c r="D33" s="27">
        <f>258+250</f>
        <v>508</v>
      </c>
      <c r="E33" s="40">
        <f t="shared" si="0"/>
        <v>1335.4</v>
      </c>
      <c r="F33" s="8">
        <v>1214</v>
      </c>
      <c r="G33" s="46">
        <f t="shared" si="1"/>
        <v>121.4</v>
      </c>
      <c r="H33" s="18"/>
      <c r="I33" s="18">
        <f>225+251+26</f>
        <v>502</v>
      </c>
      <c r="J33" s="8">
        <v>1214</v>
      </c>
      <c r="K33" s="39">
        <f t="shared" si="2"/>
        <v>147.4</v>
      </c>
      <c r="L33" s="39">
        <f t="shared" si="3"/>
        <v>1361.4</v>
      </c>
      <c r="M33" s="46">
        <f t="shared" si="4"/>
        <v>121.4</v>
      </c>
      <c r="N33" s="93">
        <v>1482</v>
      </c>
      <c r="P33" s="24">
        <f>44+25</f>
        <v>69</v>
      </c>
      <c r="Q33" s="24">
        <v>0.7</v>
      </c>
      <c r="R33" s="24">
        <f t="shared" si="5"/>
        <v>48.3</v>
      </c>
      <c r="S33" s="24">
        <v>0</v>
      </c>
      <c r="T33" s="24">
        <v>1</v>
      </c>
      <c r="U33" s="24">
        <f t="shared" si="6"/>
        <v>0</v>
      </c>
      <c r="V33" s="41">
        <v>72.23</v>
      </c>
      <c r="W33" s="31">
        <v>90</v>
      </c>
      <c r="X33" s="31">
        <f t="shared" si="7"/>
        <v>90</v>
      </c>
      <c r="Y33" s="31">
        <v>13</v>
      </c>
      <c r="Z33" s="24">
        <v>0.7</v>
      </c>
      <c r="AA33" s="24">
        <f t="shared" si="8"/>
        <v>9.1</v>
      </c>
      <c r="AB33" s="24">
        <v>0</v>
      </c>
      <c r="AC33" s="24">
        <v>70</v>
      </c>
      <c r="AD33" s="24">
        <f t="shared" si="9"/>
        <v>0</v>
      </c>
      <c r="AE33" s="46">
        <f t="shared" si="11"/>
        <v>147.4</v>
      </c>
      <c r="AF33" s="34" t="s">
        <v>14</v>
      </c>
    </row>
    <row r="34" spans="1:32" ht="15.75">
      <c r="A34" s="2" t="s">
        <v>44</v>
      </c>
      <c r="B34" s="10" t="s">
        <v>21</v>
      </c>
      <c r="C34" s="25" t="s">
        <v>15</v>
      </c>
      <c r="D34" s="27">
        <v>486</v>
      </c>
      <c r="E34" s="40">
        <f t="shared" si="0"/>
        <v>1278.2</v>
      </c>
      <c r="F34" s="8">
        <v>1162</v>
      </c>
      <c r="G34" s="46">
        <f t="shared" si="1"/>
        <v>116.2</v>
      </c>
      <c r="H34" s="18"/>
      <c r="I34" s="18">
        <f>113+324+12</f>
        <v>449</v>
      </c>
      <c r="J34" s="8">
        <v>1162</v>
      </c>
      <c r="K34" s="39">
        <f t="shared" si="2"/>
        <v>130.4</v>
      </c>
      <c r="L34" s="39">
        <f t="shared" si="3"/>
        <v>1292.4</v>
      </c>
      <c r="M34" s="46">
        <f t="shared" si="4"/>
        <v>116.2</v>
      </c>
      <c r="N34" s="93">
        <v>1408</v>
      </c>
      <c r="P34" s="24">
        <f>43+20</f>
        <v>63</v>
      </c>
      <c r="Q34" s="24">
        <v>0.7</v>
      </c>
      <c r="R34" s="24">
        <f t="shared" si="5"/>
        <v>44.099999999999994</v>
      </c>
      <c r="S34" s="24">
        <v>10</v>
      </c>
      <c r="T34" s="24">
        <v>1</v>
      </c>
      <c r="U34" s="24">
        <f t="shared" si="6"/>
        <v>10</v>
      </c>
      <c r="V34" s="41">
        <v>52.27</v>
      </c>
      <c r="W34" s="31">
        <v>70</v>
      </c>
      <c r="X34" s="31">
        <f t="shared" si="7"/>
        <v>70</v>
      </c>
      <c r="Y34" s="31">
        <v>9</v>
      </c>
      <c r="Z34" s="24">
        <v>0.7</v>
      </c>
      <c r="AA34" s="24">
        <f t="shared" si="8"/>
        <v>6.3</v>
      </c>
      <c r="AB34" s="24">
        <v>0</v>
      </c>
      <c r="AC34" s="24">
        <v>70</v>
      </c>
      <c r="AD34" s="24">
        <f t="shared" si="9"/>
        <v>0</v>
      </c>
      <c r="AE34" s="46">
        <f t="shared" si="11"/>
        <v>130.4</v>
      </c>
      <c r="AF34" s="34" t="s">
        <v>15</v>
      </c>
    </row>
    <row r="35" spans="1:32" ht="15.75">
      <c r="A35" s="2" t="s">
        <v>45</v>
      </c>
      <c r="B35" s="10" t="s">
        <v>21</v>
      </c>
      <c r="C35" s="25" t="s">
        <v>23</v>
      </c>
      <c r="D35" s="27">
        <v>59</v>
      </c>
      <c r="E35" s="40">
        <f t="shared" si="0"/>
        <v>1003</v>
      </c>
      <c r="F35" s="8">
        <v>1003</v>
      </c>
      <c r="G35" s="46">
        <f>F35*0%</f>
        <v>0</v>
      </c>
      <c r="H35" s="18"/>
      <c r="I35" s="18">
        <f>3+21+5+21+4+4+8+4</f>
        <v>70</v>
      </c>
      <c r="J35" s="8">
        <v>1003</v>
      </c>
      <c r="K35" s="39">
        <f t="shared" si="2"/>
        <v>23.099999999999998</v>
      </c>
      <c r="L35" s="39">
        <f t="shared" si="3"/>
        <v>1026.1</v>
      </c>
      <c r="M35" s="46">
        <f>J35*0%</f>
        <v>0</v>
      </c>
      <c r="N35" s="93">
        <f t="shared" si="10"/>
        <v>1026.1</v>
      </c>
      <c r="P35" s="24">
        <f>18+15</f>
        <v>33</v>
      </c>
      <c r="Q35" s="24">
        <v>0.7</v>
      </c>
      <c r="R35" s="24">
        <f t="shared" si="5"/>
        <v>23.099999999999998</v>
      </c>
      <c r="S35" s="24">
        <v>0</v>
      </c>
      <c r="T35" s="24">
        <v>1</v>
      </c>
      <c r="U35" s="24">
        <f t="shared" si="6"/>
        <v>0</v>
      </c>
      <c r="V35" s="41">
        <v>0</v>
      </c>
      <c r="W35" s="31">
        <v>0</v>
      </c>
      <c r="X35" s="31">
        <f t="shared" si="7"/>
        <v>0</v>
      </c>
      <c r="Y35" s="31">
        <v>0</v>
      </c>
      <c r="Z35" s="24">
        <v>0.7</v>
      </c>
      <c r="AA35" s="24">
        <f t="shared" si="8"/>
        <v>0</v>
      </c>
      <c r="AB35" s="24">
        <v>0</v>
      </c>
      <c r="AC35" s="24">
        <v>70</v>
      </c>
      <c r="AD35" s="24">
        <f t="shared" si="9"/>
        <v>0</v>
      </c>
      <c r="AE35" s="46">
        <f t="shared" si="11"/>
        <v>23.099999999999998</v>
      </c>
      <c r="AF35" s="34" t="s">
        <v>23</v>
      </c>
    </row>
    <row r="36" spans="1:32" ht="15.75">
      <c r="A36" s="2" t="s">
        <v>46</v>
      </c>
      <c r="B36" s="10" t="s">
        <v>21</v>
      </c>
      <c r="C36" s="25" t="s">
        <v>56</v>
      </c>
      <c r="D36" s="27">
        <f>214+57</f>
        <v>271</v>
      </c>
      <c r="E36" s="40">
        <f t="shared" si="0"/>
        <v>1109</v>
      </c>
      <c r="F36" s="8">
        <v>1109</v>
      </c>
      <c r="G36" s="46">
        <f>F36*0%</f>
        <v>0</v>
      </c>
      <c r="H36" s="18"/>
      <c r="I36" s="18">
        <f>19+76+125+2+1+1+6</f>
        <v>230</v>
      </c>
      <c r="J36" s="8">
        <v>1109</v>
      </c>
      <c r="K36" s="39">
        <f t="shared" si="2"/>
        <v>148.7</v>
      </c>
      <c r="L36" s="39">
        <f t="shared" si="3"/>
        <v>1257.7</v>
      </c>
      <c r="M36" s="46">
        <f>J36*0%</f>
        <v>0</v>
      </c>
      <c r="N36" s="93">
        <f t="shared" si="10"/>
        <v>1257.7</v>
      </c>
      <c r="P36" s="24">
        <f>85+51</f>
        <v>136</v>
      </c>
      <c r="Q36" s="24">
        <v>0.7</v>
      </c>
      <c r="R36" s="24">
        <f t="shared" si="5"/>
        <v>95.19999999999999</v>
      </c>
      <c r="S36" s="24">
        <v>0</v>
      </c>
      <c r="T36" s="24">
        <v>1</v>
      </c>
      <c r="U36" s="24">
        <f t="shared" si="6"/>
        <v>0</v>
      </c>
      <c r="V36" s="41">
        <v>47.13</v>
      </c>
      <c r="W36" s="31">
        <v>50</v>
      </c>
      <c r="X36" s="31">
        <f t="shared" si="7"/>
        <v>50</v>
      </c>
      <c r="Y36" s="31">
        <v>5</v>
      </c>
      <c r="Z36" s="24">
        <v>0.7</v>
      </c>
      <c r="AA36" s="24">
        <f t="shared" si="8"/>
        <v>3.5</v>
      </c>
      <c r="AB36" s="24">
        <v>0</v>
      </c>
      <c r="AC36" s="24">
        <v>70</v>
      </c>
      <c r="AD36" s="24">
        <f t="shared" si="9"/>
        <v>0</v>
      </c>
      <c r="AE36" s="46">
        <f t="shared" si="11"/>
        <v>148.7</v>
      </c>
      <c r="AF36" s="34" t="s">
        <v>56</v>
      </c>
    </row>
    <row r="37" spans="1:32" ht="32.25" thickBot="1">
      <c r="A37" s="2" t="s">
        <v>47</v>
      </c>
      <c r="B37" s="10" t="s">
        <v>21</v>
      </c>
      <c r="C37" s="61" t="s">
        <v>53</v>
      </c>
      <c r="D37" s="62">
        <v>487</v>
      </c>
      <c r="E37" s="66">
        <f t="shared" si="0"/>
        <v>1278.2</v>
      </c>
      <c r="F37" s="63">
        <v>1162</v>
      </c>
      <c r="G37" s="75">
        <f t="shared" si="1"/>
        <v>116.2</v>
      </c>
      <c r="H37" s="28"/>
      <c r="I37" s="18"/>
      <c r="J37" s="63">
        <v>1162</v>
      </c>
      <c r="K37" s="90">
        <f t="shared" si="2"/>
        <v>88</v>
      </c>
      <c r="L37" s="68">
        <f t="shared" si="3"/>
        <v>1250</v>
      </c>
      <c r="M37" s="75">
        <f>J37*10%</f>
        <v>116.2</v>
      </c>
      <c r="N37" s="94">
        <f t="shared" si="10"/>
        <v>1366.2</v>
      </c>
      <c r="P37" s="35">
        <f>60+30</f>
        <v>90</v>
      </c>
      <c r="Q37" s="69">
        <v>0.2</v>
      </c>
      <c r="R37" s="35">
        <f t="shared" si="5"/>
        <v>18</v>
      </c>
      <c r="S37" s="35">
        <v>0</v>
      </c>
      <c r="T37" s="69">
        <v>2</v>
      </c>
      <c r="U37" s="35">
        <f t="shared" si="6"/>
        <v>0</v>
      </c>
      <c r="V37" s="35">
        <v>37.48</v>
      </c>
      <c r="W37" s="35">
        <v>0</v>
      </c>
      <c r="X37" s="35">
        <f t="shared" si="7"/>
        <v>0</v>
      </c>
      <c r="Y37" s="35">
        <v>0</v>
      </c>
      <c r="Z37" s="69">
        <v>0.7</v>
      </c>
      <c r="AA37" s="69">
        <f t="shared" si="8"/>
        <v>0</v>
      </c>
      <c r="AB37" s="36">
        <v>1</v>
      </c>
      <c r="AC37" s="69">
        <v>70</v>
      </c>
      <c r="AD37" s="69">
        <f t="shared" si="9"/>
        <v>70</v>
      </c>
      <c r="AE37" s="70">
        <f>SUM(R37+U37+X37+AA37+AD37)</f>
        <v>88</v>
      </c>
      <c r="AF37" s="38" t="s">
        <v>79</v>
      </c>
    </row>
    <row r="38" spans="1:32" ht="16.5" thickBot="1">
      <c r="A38" s="11" t="s">
        <v>48</v>
      </c>
      <c r="B38" s="3" t="s">
        <v>2</v>
      </c>
      <c r="C38" s="50" t="s">
        <v>20</v>
      </c>
      <c r="D38" s="51" t="s">
        <v>100</v>
      </c>
      <c r="E38" s="52">
        <v>1510</v>
      </c>
      <c r="F38" s="53">
        <v>0</v>
      </c>
      <c r="G38" s="54">
        <v>1510</v>
      </c>
      <c r="H38" s="28"/>
      <c r="I38" s="18"/>
      <c r="J38" s="53">
        <v>0</v>
      </c>
      <c r="K38" s="91">
        <v>0</v>
      </c>
      <c r="L38" s="67">
        <v>0</v>
      </c>
      <c r="M38" s="54">
        <v>1510</v>
      </c>
      <c r="N38" s="94">
        <f t="shared" si="10"/>
        <v>1510</v>
      </c>
      <c r="P38" s="17"/>
      <c r="Q38" s="17"/>
      <c r="R38" s="17"/>
      <c r="S38" s="17"/>
      <c r="T38" s="17"/>
      <c r="U38" s="17"/>
      <c r="V38" s="12"/>
      <c r="W38" s="12"/>
      <c r="X38" s="12"/>
      <c r="Y38" s="12"/>
      <c r="Z38" s="12"/>
      <c r="AA38" s="12"/>
      <c r="AB38" s="17"/>
      <c r="AC38" s="17"/>
      <c r="AD38" s="17"/>
      <c r="AE38" s="17"/>
      <c r="AF38" s="17"/>
    </row>
    <row r="39" spans="3:32" ht="15" customHeight="1">
      <c r="C39" s="12" t="s">
        <v>95</v>
      </c>
      <c r="V39" s="12"/>
      <c r="AF39" s="12"/>
    </row>
    <row r="40" spans="1:31" ht="15" customHeight="1">
      <c r="A40" s="12"/>
      <c r="B40" s="4"/>
      <c r="E40" s="19"/>
      <c r="N40" s="19"/>
      <c r="P40" s="12"/>
      <c r="Q40" s="12"/>
      <c r="R40" s="12"/>
      <c r="S40" s="12"/>
      <c r="T40" s="12"/>
      <c r="U40" s="12"/>
      <c r="V40" s="12" t="s">
        <v>99</v>
      </c>
      <c r="Y40" s="12"/>
      <c r="Z40" s="12"/>
      <c r="AA40" s="12"/>
      <c r="AB40" s="12"/>
      <c r="AC40" s="12"/>
      <c r="AD40" s="12"/>
      <c r="AE40" s="12"/>
    </row>
    <row r="41" spans="1:31" ht="15" customHeight="1">
      <c r="A41" s="12"/>
      <c r="B41" s="4"/>
      <c r="F41" s="16"/>
      <c r="G41" s="17"/>
      <c r="J41" s="16"/>
      <c r="K41" s="92"/>
      <c r="L41" s="16"/>
      <c r="M41" s="17"/>
      <c r="P41" s="12"/>
      <c r="Q41" s="12"/>
      <c r="R41" s="12"/>
      <c r="S41" s="12"/>
      <c r="T41" s="12"/>
      <c r="U41" s="12"/>
      <c r="V41" s="12"/>
      <c r="Y41" s="12"/>
      <c r="Z41" s="12"/>
      <c r="AA41" s="12"/>
      <c r="AB41" s="12"/>
      <c r="AC41" s="12"/>
      <c r="AD41" s="12"/>
      <c r="AE41" s="12"/>
    </row>
    <row r="42" spans="1:31" ht="15" customHeight="1">
      <c r="A42" s="120" t="s">
        <v>28</v>
      </c>
      <c r="B42" s="120"/>
      <c r="C42" s="120"/>
      <c r="D42" s="23" t="s">
        <v>94</v>
      </c>
      <c r="F42" s="16"/>
      <c r="G42" s="17"/>
      <c r="J42" s="16"/>
      <c r="K42" s="92"/>
      <c r="L42" s="16"/>
      <c r="M42" s="17"/>
      <c r="P42" s="12"/>
      <c r="Q42" s="12"/>
      <c r="R42" s="12"/>
      <c r="S42" s="12"/>
      <c r="T42" s="12"/>
      <c r="U42" s="12"/>
      <c r="V42" s="12"/>
      <c r="Y42" s="12"/>
      <c r="Z42" s="12"/>
      <c r="AA42" s="12"/>
      <c r="AB42" s="12"/>
      <c r="AC42" s="12"/>
      <c r="AD42" s="12"/>
      <c r="AE42" s="12"/>
    </row>
    <row r="43" spans="2:20" s="1" customFormat="1" ht="13.5" customHeight="1">
      <c r="B43" s="9"/>
      <c r="E43" s="22"/>
      <c r="N43" s="22"/>
      <c r="P43" s="12"/>
      <c r="Q43" s="12"/>
      <c r="R43" s="12"/>
      <c r="S43" s="12"/>
      <c r="T43" s="12"/>
    </row>
    <row r="44" spans="16:24" ht="15">
      <c r="P44" s="17"/>
      <c r="Q44" s="17"/>
      <c r="R44" s="17"/>
      <c r="S44" s="17"/>
      <c r="T44" s="17"/>
      <c r="V44" s="12" t="s">
        <v>86</v>
      </c>
      <c r="W44" s="12" t="s">
        <v>66</v>
      </c>
      <c r="X44" s="12" t="s">
        <v>65</v>
      </c>
    </row>
    <row r="45" spans="16:24" ht="15">
      <c r="P45" s="17"/>
      <c r="Q45" s="17"/>
      <c r="R45" s="17"/>
      <c r="S45" s="17"/>
      <c r="T45" s="17"/>
      <c r="W45" s="12" t="s">
        <v>67</v>
      </c>
      <c r="X45" s="12" t="s">
        <v>70</v>
      </c>
    </row>
    <row r="46" spans="16:24" ht="15">
      <c r="P46" s="17"/>
      <c r="Q46" s="17"/>
      <c r="R46" s="17"/>
      <c r="S46" s="17"/>
      <c r="T46" s="17"/>
      <c r="W46" s="12" t="s">
        <v>68</v>
      </c>
      <c r="X46" s="12" t="s">
        <v>88</v>
      </c>
    </row>
    <row r="47" spans="23:24" ht="15">
      <c r="W47" s="12" t="s">
        <v>69</v>
      </c>
      <c r="X47" s="12" t="s">
        <v>89</v>
      </c>
    </row>
  </sheetData>
  <sheetProtection/>
  <mergeCells count="34">
    <mergeCell ref="AB13:AB18"/>
    <mergeCell ref="AC13:AC18"/>
    <mergeCell ref="AD13:AD18"/>
    <mergeCell ref="AE13:AE18"/>
    <mergeCell ref="AF13:AF18"/>
    <mergeCell ref="A42:C42"/>
    <mergeCell ref="V13:V18"/>
    <mergeCell ref="W13:W18"/>
    <mergeCell ref="X13:X18"/>
    <mergeCell ref="Y13:Y18"/>
    <mergeCell ref="Z13:Z18"/>
    <mergeCell ref="AA13:AA18"/>
    <mergeCell ref="P13:P18"/>
    <mergeCell ref="Q13:Q18"/>
    <mergeCell ref="R13:R18"/>
    <mergeCell ref="S13:S18"/>
    <mergeCell ref="T13:T18"/>
    <mergeCell ref="U13:U18"/>
    <mergeCell ref="G13:G18"/>
    <mergeCell ref="N13:N18"/>
    <mergeCell ref="J13:J18"/>
    <mergeCell ref="K13:K18"/>
    <mergeCell ref="L13:L18"/>
    <mergeCell ref="M13:M18"/>
    <mergeCell ref="A9:G9"/>
    <mergeCell ref="A10:G10"/>
    <mergeCell ref="A11:G11"/>
    <mergeCell ref="P12:AE12"/>
    <mergeCell ref="A13:A18"/>
    <mergeCell ref="B13:B18"/>
    <mergeCell ref="C13:C18"/>
    <mergeCell ref="D13:D18"/>
    <mergeCell ref="E13:E18"/>
    <mergeCell ref="F13:F18"/>
  </mergeCells>
  <printOptions/>
  <pageMargins left="0.5118110236220472" right="0.5118110236220472" top="1.4960629921259843" bottom="0.5118110236220472" header="0.31496062992125984" footer="0.31496062992125984"/>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2:AF47"/>
  <sheetViews>
    <sheetView zoomScale="80" zoomScaleNormal="80" zoomScalePageLayoutView="0" workbookViewId="0" topLeftCell="A7">
      <selection activeCell="L54" sqref="L54"/>
    </sheetView>
  </sheetViews>
  <sheetFormatPr defaultColWidth="9.140625" defaultRowHeight="15"/>
  <cols>
    <col min="1" max="1" width="9.140625" style="4" customWidth="1"/>
    <col min="2" max="2" width="13.57421875" style="5" hidden="1" customWidth="1"/>
    <col min="3" max="3" width="59.8515625" style="4" customWidth="1"/>
    <col min="4" max="4" width="14.00390625" style="4" hidden="1" customWidth="1"/>
    <col min="5" max="5" width="15.00390625" style="21" hidden="1" customWidth="1"/>
    <col min="6" max="7" width="17.421875" style="4" hidden="1" customWidth="1"/>
    <col min="8" max="9" width="0" style="4" hidden="1" customWidth="1"/>
    <col min="10" max="10" width="15.00390625" style="21" hidden="1" customWidth="1"/>
    <col min="11" max="11" width="17.421875" style="4" hidden="1" customWidth="1"/>
    <col min="12" max="12" width="17.421875" style="17" customWidth="1"/>
    <col min="13" max="14" width="17.421875" style="4" hidden="1" customWidth="1"/>
    <col min="15" max="15" width="0" style="4" hidden="1" customWidth="1"/>
    <col min="16" max="23" width="14.7109375" style="4" hidden="1" customWidth="1"/>
    <col min="24" max="24" width="16.28125" style="4" hidden="1" customWidth="1"/>
    <col min="25" max="31" width="14.7109375" style="4" hidden="1" customWidth="1"/>
    <col min="32" max="32" width="59.8515625" style="4" hidden="1" customWidth="1"/>
    <col min="33" max="34" width="0" style="4" hidden="1" customWidth="1"/>
    <col min="35" max="16384" width="9.140625" style="4" customWidth="1"/>
  </cols>
  <sheetData>
    <row r="2" spans="3:32" ht="31.5" customHeight="1">
      <c r="C2" s="6"/>
      <c r="D2" s="7"/>
      <c r="E2" s="19"/>
      <c r="F2" s="12"/>
      <c r="J2" s="19"/>
      <c r="AF2" s="6"/>
    </row>
    <row r="3" spans="1:12" s="14" customFormat="1" ht="15.75">
      <c r="A3" s="13"/>
      <c r="B3" s="13"/>
      <c r="D3" s="15"/>
      <c r="E3" s="20"/>
      <c r="J3" s="20"/>
      <c r="L3" s="43"/>
    </row>
    <row r="4" spans="1:12" s="14" customFormat="1" ht="15.75">
      <c r="A4" s="13"/>
      <c r="B4" s="13"/>
      <c r="D4" s="15"/>
      <c r="E4" s="20"/>
      <c r="J4" s="20"/>
      <c r="L4" s="43"/>
    </row>
    <row r="5" spans="1:12" s="14" customFormat="1" ht="15.75">
      <c r="A5" s="13"/>
      <c r="B5" s="13"/>
      <c r="D5" s="15"/>
      <c r="E5" s="20"/>
      <c r="J5" s="20"/>
      <c r="L5" s="43"/>
    </row>
    <row r="6" spans="1:12" s="14" customFormat="1" ht="15.75">
      <c r="A6" s="13"/>
      <c r="B6" s="13"/>
      <c r="D6" s="15"/>
      <c r="E6" s="20"/>
      <c r="J6" s="20"/>
      <c r="L6" s="43"/>
    </row>
    <row r="7" spans="1:12" s="14" customFormat="1" ht="15.75">
      <c r="A7" s="13"/>
      <c r="B7" s="13"/>
      <c r="D7" s="15"/>
      <c r="E7" s="20"/>
      <c r="J7" s="20"/>
      <c r="L7" s="43"/>
    </row>
    <row r="8" spans="1:12" s="14" customFormat="1" ht="15.75">
      <c r="A8" s="13"/>
      <c r="B8" s="13"/>
      <c r="D8" s="15"/>
      <c r="E8" s="20"/>
      <c r="J8" s="20"/>
      <c r="L8" s="43"/>
    </row>
    <row r="9" spans="1:12" ht="29.25" customHeight="1">
      <c r="A9" s="97" t="s">
        <v>24</v>
      </c>
      <c r="B9" s="97"/>
      <c r="C9" s="97"/>
      <c r="D9" s="97"/>
      <c r="E9" s="97"/>
      <c r="F9" s="97"/>
      <c r="G9" s="97"/>
      <c r="H9" s="97"/>
      <c r="I9" s="97"/>
      <c r="J9" s="97"/>
      <c r="K9" s="97"/>
      <c r="L9" s="97"/>
    </row>
    <row r="10" spans="1:12" ht="18.75">
      <c r="A10" s="98" t="s">
        <v>85</v>
      </c>
      <c r="B10" s="98"/>
      <c r="C10" s="98"/>
      <c r="D10" s="98"/>
      <c r="E10" s="98"/>
      <c r="F10" s="98"/>
      <c r="G10" s="98"/>
      <c r="H10" s="98"/>
      <c r="I10" s="98"/>
      <c r="J10" s="98"/>
      <c r="K10" s="98"/>
      <c r="L10" s="98"/>
    </row>
    <row r="11" spans="1:12" ht="19.5">
      <c r="A11" s="98" t="s">
        <v>84</v>
      </c>
      <c r="B11" s="98"/>
      <c r="C11" s="98"/>
      <c r="D11" s="98"/>
      <c r="E11" s="98"/>
      <c r="F11" s="98"/>
      <c r="G11" s="98"/>
      <c r="H11" s="98"/>
      <c r="I11" s="98"/>
      <c r="J11" s="98"/>
      <c r="K11" s="98"/>
      <c r="L11" s="98"/>
    </row>
    <row r="12" spans="3:31" ht="84" customHeight="1" thickBot="1">
      <c r="C12" s="4" t="s">
        <v>0</v>
      </c>
      <c r="P12" s="99" t="s">
        <v>64</v>
      </c>
      <c r="Q12" s="99"/>
      <c r="R12" s="99"/>
      <c r="S12" s="99"/>
      <c r="T12" s="99"/>
      <c r="U12" s="99"/>
      <c r="V12" s="99"/>
      <c r="W12" s="99"/>
      <c r="X12" s="99"/>
      <c r="Y12" s="99"/>
      <c r="Z12" s="99"/>
      <c r="AA12" s="99"/>
      <c r="AB12" s="99"/>
      <c r="AC12" s="99"/>
      <c r="AD12" s="99"/>
      <c r="AE12" s="99"/>
    </row>
    <row r="13" spans="1:32" ht="15" customHeight="1">
      <c r="A13" s="100" t="s">
        <v>18</v>
      </c>
      <c r="B13" s="103" t="s">
        <v>19</v>
      </c>
      <c r="C13" s="106" t="s">
        <v>1</v>
      </c>
      <c r="D13" s="109" t="s">
        <v>54</v>
      </c>
      <c r="E13" s="111" t="s">
        <v>55</v>
      </c>
      <c r="F13" s="111" t="s">
        <v>49</v>
      </c>
      <c r="G13" s="113" t="s">
        <v>50</v>
      </c>
      <c r="H13" s="57"/>
      <c r="I13" s="57"/>
      <c r="J13" s="111" t="s">
        <v>55</v>
      </c>
      <c r="K13" s="111" t="s">
        <v>59</v>
      </c>
      <c r="L13" s="113" t="s">
        <v>90</v>
      </c>
      <c r="M13" s="121" t="s">
        <v>60</v>
      </c>
      <c r="N13" s="113" t="s">
        <v>50</v>
      </c>
      <c r="P13" s="113" t="s">
        <v>72</v>
      </c>
      <c r="Q13" s="113" t="s">
        <v>74</v>
      </c>
      <c r="R13" s="113" t="s">
        <v>61</v>
      </c>
      <c r="S13" s="113" t="s">
        <v>62</v>
      </c>
      <c r="T13" s="113" t="s">
        <v>74</v>
      </c>
      <c r="U13" s="113" t="s">
        <v>63</v>
      </c>
      <c r="V13" s="113" t="s">
        <v>76</v>
      </c>
      <c r="W13" s="113" t="s">
        <v>74</v>
      </c>
      <c r="X13" s="113" t="s">
        <v>77</v>
      </c>
      <c r="Y13" s="113" t="s">
        <v>73</v>
      </c>
      <c r="Z13" s="113" t="s">
        <v>74</v>
      </c>
      <c r="AA13" s="113" t="s">
        <v>82</v>
      </c>
      <c r="AB13" s="113" t="s">
        <v>83</v>
      </c>
      <c r="AC13" s="113" t="s">
        <v>74</v>
      </c>
      <c r="AD13" s="113" t="s">
        <v>71</v>
      </c>
      <c r="AE13" s="113" t="s">
        <v>75</v>
      </c>
      <c r="AF13" s="117" t="s">
        <v>1</v>
      </c>
    </row>
    <row r="14" spans="1:32" ht="15" customHeight="1">
      <c r="A14" s="101"/>
      <c r="B14" s="104"/>
      <c r="C14" s="107"/>
      <c r="D14" s="110"/>
      <c r="E14" s="112"/>
      <c r="F14" s="112"/>
      <c r="G14" s="114"/>
      <c r="H14" s="58"/>
      <c r="I14" s="58"/>
      <c r="J14" s="112"/>
      <c r="K14" s="112"/>
      <c r="L14" s="114"/>
      <c r="M14" s="122"/>
      <c r="N14" s="114"/>
      <c r="P14" s="114"/>
      <c r="Q14" s="114"/>
      <c r="R14" s="114"/>
      <c r="S14" s="114"/>
      <c r="T14" s="114"/>
      <c r="U14" s="114"/>
      <c r="V14" s="114"/>
      <c r="W14" s="114"/>
      <c r="X14" s="114"/>
      <c r="Y14" s="114"/>
      <c r="Z14" s="114"/>
      <c r="AA14" s="114"/>
      <c r="AB14" s="114"/>
      <c r="AC14" s="114"/>
      <c r="AD14" s="114"/>
      <c r="AE14" s="114"/>
      <c r="AF14" s="118"/>
    </row>
    <row r="15" spans="1:32" ht="15.75" customHeight="1">
      <c r="A15" s="101"/>
      <c r="B15" s="104"/>
      <c r="C15" s="107"/>
      <c r="D15" s="110"/>
      <c r="E15" s="112"/>
      <c r="F15" s="112"/>
      <c r="G15" s="114"/>
      <c r="H15" s="58"/>
      <c r="I15" s="58"/>
      <c r="J15" s="112"/>
      <c r="K15" s="112"/>
      <c r="L15" s="114"/>
      <c r="M15" s="122"/>
      <c r="N15" s="114"/>
      <c r="P15" s="114"/>
      <c r="Q15" s="114"/>
      <c r="R15" s="114"/>
      <c r="S15" s="114"/>
      <c r="T15" s="114"/>
      <c r="U15" s="114"/>
      <c r="V15" s="114"/>
      <c r="W15" s="114"/>
      <c r="X15" s="114"/>
      <c r="Y15" s="114"/>
      <c r="Z15" s="114"/>
      <c r="AA15" s="114"/>
      <c r="AB15" s="114"/>
      <c r="AC15" s="114"/>
      <c r="AD15" s="114"/>
      <c r="AE15" s="114"/>
      <c r="AF15" s="118"/>
    </row>
    <row r="16" spans="1:32" ht="15.75" customHeight="1">
      <c r="A16" s="101"/>
      <c r="B16" s="104"/>
      <c r="C16" s="107"/>
      <c r="D16" s="110"/>
      <c r="E16" s="112"/>
      <c r="F16" s="112"/>
      <c r="G16" s="114"/>
      <c r="H16" s="58"/>
      <c r="I16" s="58"/>
      <c r="J16" s="112"/>
      <c r="K16" s="112"/>
      <c r="L16" s="114"/>
      <c r="M16" s="122"/>
      <c r="N16" s="114"/>
      <c r="P16" s="114"/>
      <c r="Q16" s="114"/>
      <c r="R16" s="114"/>
      <c r="S16" s="114"/>
      <c r="T16" s="114"/>
      <c r="U16" s="114"/>
      <c r="V16" s="114"/>
      <c r="W16" s="114"/>
      <c r="X16" s="114"/>
      <c r="Y16" s="114"/>
      <c r="Z16" s="114"/>
      <c r="AA16" s="114"/>
      <c r="AB16" s="114"/>
      <c r="AC16" s="114"/>
      <c r="AD16" s="114"/>
      <c r="AE16" s="114"/>
      <c r="AF16" s="118"/>
    </row>
    <row r="17" spans="1:32" ht="15.75" customHeight="1">
      <c r="A17" s="101"/>
      <c r="B17" s="104"/>
      <c r="C17" s="107"/>
      <c r="D17" s="110"/>
      <c r="E17" s="112"/>
      <c r="F17" s="112"/>
      <c r="G17" s="114"/>
      <c r="H17" s="58"/>
      <c r="I17" s="58"/>
      <c r="J17" s="112"/>
      <c r="K17" s="112"/>
      <c r="L17" s="114"/>
      <c r="M17" s="122"/>
      <c r="N17" s="114"/>
      <c r="P17" s="114"/>
      <c r="Q17" s="114"/>
      <c r="R17" s="114"/>
      <c r="S17" s="114"/>
      <c r="T17" s="114"/>
      <c r="U17" s="114"/>
      <c r="V17" s="114"/>
      <c r="W17" s="114"/>
      <c r="X17" s="114"/>
      <c r="Y17" s="114"/>
      <c r="Z17" s="114"/>
      <c r="AA17" s="114"/>
      <c r="AB17" s="114"/>
      <c r="AC17" s="114"/>
      <c r="AD17" s="114"/>
      <c r="AE17" s="114"/>
      <c r="AF17" s="118"/>
    </row>
    <row r="18" spans="1:32" ht="52.5" customHeight="1">
      <c r="A18" s="102"/>
      <c r="B18" s="105"/>
      <c r="C18" s="108"/>
      <c r="D18" s="110"/>
      <c r="E18" s="112"/>
      <c r="F18" s="112"/>
      <c r="G18" s="114"/>
      <c r="H18" s="58"/>
      <c r="I18" s="58"/>
      <c r="J18" s="112"/>
      <c r="K18" s="112"/>
      <c r="L18" s="114"/>
      <c r="M18" s="122"/>
      <c r="N18" s="114"/>
      <c r="P18" s="114"/>
      <c r="Q18" s="114"/>
      <c r="R18" s="114"/>
      <c r="S18" s="114"/>
      <c r="T18" s="114"/>
      <c r="U18" s="114"/>
      <c r="V18" s="114"/>
      <c r="W18" s="114"/>
      <c r="X18" s="114"/>
      <c r="Y18" s="114"/>
      <c r="Z18" s="114"/>
      <c r="AA18" s="114"/>
      <c r="AB18" s="114"/>
      <c r="AC18" s="114"/>
      <c r="AD18" s="114"/>
      <c r="AE18" s="114"/>
      <c r="AF18" s="119"/>
    </row>
    <row r="19" spans="1:32" ht="15.75" customHeight="1">
      <c r="A19" s="2" t="s">
        <v>29</v>
      </c>
      <c r="B19" s="10" t="s">
        <v>21</v>
      </c>
      <c r="C19" s="25" t="s">
        <v>3</v>
      </c>
      <c r="D19" s="27">
        <v>263</v>
      </c>
      <c r="E19" s="8">
        <f>F19+G19</f>
        <v>1155</v>
      </c>
      <c r="F19" s="8">
        <v>1050</v>
      </c>
      <c r="G19" s="24">
        <f>F19*10%</f>
        <v>105</v>
      </c>
      <c r="H19" s="59"/>
      <c r="I19" s="59">
        <f>118+36+96+54</f>
        <v>304</v>
      </c>
      <c r="J19" s="40">
        <f>M19+N19</f>
        <v>1287.7</v>
      </c>
      <c r="K19" s="8">
        <v>1050</v>
      </c>
      <c r="L19" s="46">
        <f>protokols!K19</f>
        <v>132.70000000000002</v>
      </c>
      <c r="M19" s="47">
        <f>K19+L19</f>
        <v>1182.7</v>
      </c>
      <c r="N19" s="24">
        <f>K19*10%</f>
        <v>105</v>
      </c>
      <c r="P19" s="24">
        <v>52</v>
      </c>
      <c r="Q19" s="24">
        <v>0.7</v>
      </c>
      <c r="R19" s="24">
        <f>P19*Q19</f>
        <v>36.4</v>
      </c>
      <c r="S19" s="24">
        <v>0</v>
      </c>
      <c r="T19" s="24">
        <v>2</v>
      </c>
      <c r="U19" s="24">
        <f>S19*T19</f>
        <v>0</v>
      </c>
      <c r="V19" s="41">
        <v>70.42</v>
      </c>
      <c r="W19" s="24">
        <v>90</v>
      </c>
      <c r="X19" s="24">
        <f>W19</f>
        <v>90</v>
      </c>
      <c r="Y19" s="24">
        <v>5</v>
      </c>
      <c r="Z19" s="24">
        <v>0.7</v>
      </c>
      <c r="AA19" s="24">
        <f>Y19*Z19</f>
        <v>3.5</v>
      </c>
      <c r="AB19" s="24">
        <v>1</v>
      </c>
      <c r="AC19" s="24">
        <v>70</v>
      </c>
      <c r="AD19" s="24">
        <f>AB19*AC19</f>
        <v>70</v>
      </c>
      <c r="AE19" s="46">
        <f>SUM(R19+U19+AD19)</f>
        <v>106.4</v>
      </c>
      <c r="AF19" s="34" t="s">
        <v>78</v>
      </c>
    </row>
    <row r="20" spans="1:32" ht="15.75">
      <c r="A20" s="2" t="s">
        <v>30</v>
      </c>
      <c r="B20" s="10" t="s">
        <v>21</v>
      </c>
      <c r="C20" s="25" t="s">
        <v>4</v>
      </c>
      <c r="D20" s="27">
        <v>725</v>
      </c>
      <c r="E20" s="8">
        <f aca="true" t="shared" si="0" ref="E20:E37">F20+G20</f>
        <v>1265</v>
      </c>
      <c r="F20" s="8">
        <v>1150</v>
      </c>
      <c r="G20" s="24">
        <f aca="true" t="shared" si="1" ref="G20:G37">F20*10%</f>
        <v>115</v>
      </c>
      <c r="H20" s="59"/>
      <c r="I20" s="59">
        <f>551+137+26</f>
        <v>714</v>
      </c>
      <c r="J20" s="40">
        <f aca="true" t="shared" si="2" ref="J20:J37">M20+N20</f>
        <v>1424.3</v>
      </c>
      <c r="K20" s="8">
        <v>1150</v>
      </c>
      <c r="L20" s="46">
        <f>protokols!K20</f>
        <v>159.29999999999998</v>
      </c>
      <c r="M20" s="47">
        <f aca="true" t="shared" si="3" ref="M20:M37">K20+L20</f>
        <v>1309.3</v>
      </c>
      <c r="N20" s="24">
        <f aca="true" t="shared" si="4" ref="N20:N34">K20*10%</f>
        <v>115</v>
      </c>
      <c r="P20" s="24">
        <v>95</v>
      </c>
      <c r="Q20" s="24">
        <v>0.7</v>
      </c>
      <c r="R20" s="24">
        <f aca="true" t="shared" si="5" ref="R20:R37">P20*Q20</f>
        <v>66.5</v>
      </c>
      <c r="S20" s="24">
        <v>0</v>
      </c>
      <c r="T20" s="24">
        <v>2</v>
      </c>
      <c r="U20" s="24">
        <f aca="true" t="shared" si="6" ref="U20:U37">S20*T20</f>
        <v>0</v>
      </c>
      <c r="V20" s="41">
        <v>69.64</v>
      </c>
      <c r="W20" s="24">
        <v>90</v>
      </c>
      <c r="X20" s="24">
        <f aca="true" t="shared" si="7" ref="X20:X37">W20</f>
        <v>90</v>
      </c>
      <c r="Y20" s="24">
        <v>23</v>
      </c>
      <c r="Z20" s="24">
        <v>0.7</v>
      </c>
      <c r="AA20" s="24">
        <f aca="true" t="shared" si="8" ref="AA20:AA37">Y20*Z20</f>
        <v>16.099999999999998</v>
      </c>
      <c r="AB20" s="24">
        <v>1</v>
      </c>
      <c r="AC20" s="24">
        <v>70</v>
      </c>
      <c r="AD20" s="24">
        <f aca="true" t="shared" si="9" ref="AD20:AD36">AB20*AC20</f>
        <v>70</v>
      </c>
      <c r="AE20" s="46">
        <f>SUM(R20+U20+X20+AA20+AD20)</f>
        <v>242.6</v>
      </c>
      <c r="AF20" s="34" t="s">
        <v>4</v>
      </c>
    </row>
    <row r="21" spans="1:32" ht="15.75">
      <c r="A21" s="2" t="s">
        <v>31</v>
      </c>
      <c r="B21" s="10" t="s">
        <v>21</v>
      </c>
      <c r="C21" s="25" t="s">
        <v>5</v>
      </c>
      <c r="D21" s="29">
        <v>795</v>
      </c>
      <c r="E21" s="30">
        <f t="shared" si="0"/>
        <v>1265</v>
      </c>
      <c r="F21" s="30">
        <v>1150</v>
      </c>
      <c r="G21" s="31">
        <f t="shared" si="1"/>
        <v>115</v>
      </c>
      <c r="H21" s="59"/>
      <c r="I21" s="59">
        <f>260+386+153</f>
        <v>799</v>
      </c>
      <c r="J21" s="40">
        <f t="shared" si="2"/>
        <v>1425</v>
      </c>
      <c r="K21" s="30">
        <v>1150</v>
      </c>
      <c r="L21" s="46">
        <f>protokols!K21</f>
        <v>160</v>
      </c>
      <c r="M21" s="47">
        <f t="shared" si="3"/>
        <v>1310</v>
      </c>
      <c r="N21" s="31">
        <f t="shared" si="4"/>
        <v>115</v>
      </c>
      <c r="P21" s="31">
        <v>92</v>
      </c>
      <c r="Q21" s="24">
        <v>0.7</v>
      </c>
      <c r="R21" s="24">
        <f t="shared" si="5"/>
        <v>64.39999999999999</v>
      </c>
      <c r="S21" s="31">
        <v>0</v>
      </c>
      <c r="T21" s="24">
        <v>2</v>
      </c>
      <c r="U21" s="24">
        <f t="shared" si="6"/>
        <v>0</v>
      </c>
      <c r="V21" s="42">
        <v>60.434</v>
      </c>
      <c r="W21" s="31">
        <v>90</v>
      </c>
      <c r="X21" s="24">
        <f t="shared" si="7"/>
        <v>90</v>
      </c>
      <c r="Y21" s="31">
        <v>6</v>
      </c>
      <c r="Z21" s="24">
        <v>0.7</v>
      </c>
      <c r="AA21" s="24">
        <f t="shared" si="8"/>
        <v>4.199999999999999</v>
      </c>
      <c r="AB21" s="31">
        <v>1</v>
      </c>
      <c r="AC21" s="24">
        <v>70</v>
      </c>
      <c r="AD21" s="24">
        <f t="shared" si="9"/>
        <v>70</v>
      </c>
      <c r="AE21" s="46">
        <f aca="true" t="shared" si="10" ref="AE21:AE37">SUM(R21+U21+X21+AA21+AD21)</f>
        <v>228.59999999999997</v>
      </c>
      <c r="AF21" s="34" t="s">
        <v>5</v>
      </c>
    </row>
    <row r="22" spans="1:32" ht="15.75">
      <c r="A22" s="2" t="s">
        <v>32</v>
      </c>
      <c r="B22" s="10" t="s">
        <v>21</v>
      </c>
      <c r="C22" s="25" t="s">
        <v>22</v>
      </c>
      <c r="D22" s="27">
        <v>616</v>
      </c>
      <c r="E22" s="8">
        <f t="shared" si="0"/>
        <v>1265</v>
      </c>
      <c r="F22" s="8">
        <v>1150</v>
      </c>
      <c r="G22" s="24">
        <f t="shared" si="1"/>
        <v>115</v>
      </c>
      <c r="H22" s="59"/>
      <c r="I22" s="59">
        <f>230+299+25+61</f>
        <v>615</v>
      </c>
      <c r="J22" s="40">
        <f t="shared" si="2"/>
        <v>1393.1</v>
      </c>
      <c r="K22" s="8">
        <v>1150</v>
      </c>
      <c r="L22" s="46">
        <f>protokols!K22</f>
        <v>128.1</v>
      </c>
      <c r="M22" s="47">
        <f t="shared" si="3"/>
        <v>1278.1</v>
      </c>
      <c r="N22" s="24">
        <f t="shared" si="4"/>
        <v>115</v>
      </c>
      <c r="P22" s="24">
        <v>83</v>
      </c>
      <c r="Q22" s="24">
        <v>0.7</v>
      </c>
      <c r="R22" s="24">
        <f t="shared" si="5"/>
        <v>58.099999999999994</v>
      </c>
      <c r="S22" s="24">
        <v>0</v>
      </c>
      <c r="T22" s="24">
        <v>2</v>
      </c>
      <c r="U22" s="24">
        <f t="shared" si="6"/>
        <v>0</v>
      </c>
      <c r="V22" s="41">
        <v>47.877</v>
      </c>
      <c r="W22" s="24">
        <v>50</v>
      </c>
      <c r="X22" s="24">
        <f t="shared" si="7"/>
        <v>50</v>
      </c>
      <c r="Y22" s="24">
        <v>12</v>
      </c>
      <c r="Z22" s="24">
        <v>0.7</v>
      </c>
      <c r="AA22" s="24">
        <f t="shared" si="8"/>
        <v>8.399999999999999</v>
      </c>
      <c r="AB22" s="24">
        <v>0</v>
      </c>
      <c r="AC22" s="24">
        <v>70</v>
      </c>
      <c r="AD22" s="24">
        <f t="shared" si="9"/>
        <v>0</v>
      </c>
      <c r="AE22" s="46">
        <f t="shared" si="10"/>
        <v>116.5</v>
      </c>
      <c r="AF22" s="34" t="s">
        <v>22</v>
      </c>
    </row>
    <row r="23" spans="1:32" ht="15.75">
      <c r="A23" s="2" t="s">
        <v>33</v>
      </c>
      <c r="B23" s="10" t="s">
        <v>21</v>
      </c>
      <c r="C23" s="25" t="s">
        <v>16</v>
      </c>
      <c r="D23" s="27">
        <f>287+57</f>
        <v>344</v>
      </c>
      <c r="E23" s="8">
        <f t="shared" si="0"/>
        <v>1210</v>
      </c>
      <c r="F23" s="8">
        <v>1100</v>
      </c>
      <c r="G23" s="24">
        <f t="shared" si="1"/>
        <v>110</v>
      </c>
      <c r="H23" s="59"/>
      <c r="I23" s="59">
        <f>20+41+207+24+11+7+40+25</f>
        <v>375</v>
      </c>
      <c r="J23" s="40">
        <f t="shared" si="2"/>
        <v>1348.6</v>
      </c>
      <c r="K23" s="8">
        <v>1100</v>
      </c>
      <c r="L23" s="46">
        <f>protokols!K23</f>
        <v>138.6</v>
      </c>
      <c r="M23" s="47">
        <f t="shared" si="3"/>
        <v>1238.6</v>
      </c>
      <c r="N23" s="24">
        <f t="shared" si="4"/>
        <v>110</v>
      </c>
      <c r="P23" s="24">
        <f>72+12</f>
        <v>84</v>
      </c>
      <c r="Q23" s="24">
        <v>0.7</v>
      </c>
      <c r="R23" s="24">
        <f t="shared" si="5"/>
        <v>58.8</v>
      </c>
      <c r="S23" s="24">
        <f>12+6+10</f>
        <v>28</v>
      </c>
      <c r="T23" s="24">
        <v>2</v>
      </c>
      <c r="U23" s="24">
        <f t="shared" si="6"/>
        <v>56</v>
      </c>
      <c r="V23" s="41">
        <v>31.69</v>
      </c>
      <c r="W23" s="24">
        <v>0</v>
      </c>
      <c r="X23" s="24">
        <f t="shared" si="7"/>
        <v>0</v>
      </c>
      <c r="Y23" s="24">
        <v>21</v>
      </c>
      <c r="Z23" s="24">
        <v>0.7</v>
      </c>
      <c r="AA23" s="24">
        <f t="shared" si="8"/>
        <v>14.7</v>
      </c>
      <c r="AB23" s="24">
        <v>0</v>
      </c>
      <c r="AC23" s="24">
        <v>70</v>
      </c>
      <c r="AD23" s="24">
        <f t="shared" si="9"/>
        <v>0</v>
      </c>
      <c r="AE23" s="46">
        <f t="shared" si="10"/>
        <v>129.5</v>
      </c>
      <c r="AF23" s="34" t="s">
        <v>16</v>
      </c>
    </row>
    <row r="24" spans="1:32" ht="15.75">
      <c r="A24" s="2" t="s">
        <v>34</v>
      </c>
      <c r="B24" s="10" t="s">
        <v>21</v>
      </c>
      <c r="C24" s="25" t="s">
        <v>6</v>
      </c>
      <c r="D24" s="27">
        <v>661</v>
      </c>
      <c r="E24" s="8">
        <f t="shared" si="0"/>
        <v>1265</v>
      </c>
      <c r="F24" s="8">
        <v>1150</v>
      </c>
      <c r="G24" s="24">
        <f t="shared" si="1"/>
        <v>115</v>
      </c>
      <c r="H24" s="59"/>
      <c r="I24" s="59">
        <f>216+335+92</f>
        <v>643</v>
      </c>
      <c r="J24" s="40">
        <f t="shared" si="2"/>
        <v>1398.7</v>
      </c>
      <c r="K24" s="8">
        <v>1150</v>
      </c>
      <c r="L24" s="46">
        <f>protokols!K24</f>
        <v>133.7</v>
      </c>
      <c r="M24" s="47">
        <f t="shared" si="3"/>
        <v>1283.7</v>
      </c>
      <c r="N24" s="24">
        <f t="shared" si="4"/>
        <v>115</v>
      </c>
      <c r="P24" s="24">
        <v>91</v>
      </c>
      <c r="Q24" s="24">
        <v>0.7</v>
      </c>
      <c r="R24" s="24">
        <f t="shared" si="5"/>
        <v>63.699999999999996</v>
      </c>
      <c r="S24" s="24">
        <v>0</v>
      </c>
      <c r="T24" s="24">
        <v>2</v>
      </c>
      <c r="U24" s="24">
        <f t="shared" si="6"/>
        <v>0</v>
      </c>
      <c r="V24" s="41">
        <v>59.284</v>
      </c>
      <c r="W24" s="24">
        <v>70</v>
      </c>
      <c r="X24" s="24">
        <f t="shared" si="7"/>
        <v>70</v>
      </c>
      <c r="Y24" s="24">
        <v>18</v>
      </c>
      <c r="Z24" s="24">
        <v>0.7</v>
      </c>
      <c r="AA24" s="24">
        <f t="shared" si="8"/>
        <v>12.6</v>
      </c>
      <c r="AB24" s="24">
        <v>0</v>
      </c>
      <c r="AC24" s="24">
        <v>70</v>
      </c>
      <c r="AD24" s="24">
        <f t="shared" si="9"/>
        <v>0</v>
      </c>
      <c r="AE24" s="46">
        <f t="shared" si="10"/>
        <v>146.29999999999998</v>
      </c>
      <c r="AF24" s="34" t="s">
        <v>6</v>
      </c>
    </row>
    <row r="25" spans="1:32" ht="15.75">
      <c r="A25" s="2" t="s">
        <v>35</v>
      </c>
      <c r="B25" s="10" t="s">
        <v>21</v>
      </c>
      <c r="C25" s="25" t="s">
        <v>7</v>
      </c>
      <c r="D25" s="27">
        <v>641</v>
      </c>
      <c r="E25" s="8">
        <f t="shared" si="0"/>
        <v>1265</v>
      </c>
      <c r="F25" s="8">
        <v>1150</v>
      </c>
      <c r="G25" s="24">
        <f t="shared" si="1"/>
        <v>115</v>
      </c>
      <c r="H25" s="59"/>
      <c r="I25" s="59">
        <f>285+261+92+43</f>
        <v>681</v>
      </c>
      <c r="J25" s="40">
        <f t="shared" si="2"/>
        <v>1378.7</v>
      </c>
      <c r="K25" s="8">
        <v>1150</v>
      </c>
      <c r="L25" s="46">
        <f>protokols!K25</f>
        <v>113.7</v>
      </c>
      <c r="M25" s="47">
        <f t="shared" si="3"/>
        <v>1263.7</v>
      </c>
      <c r="N25" s="24">
        <f t="shared" si="4"/>
        <v>115</v>
      </c>
      <c r="P25" s="24">
        <v>86</v>
      </c>
      <c r="Q25" s="24">
        <v>0.7</v>
      </c>
      <c r="R25" s="24">
        <f t="shared" si="5"/>
        <v>60.199999999999996</v>
      </c>
      <c r="S25" s="24">
        <v>0</v>
      </c>
      <c r="T25" s="24">
        <v>2</v>
      </c>
      <c r="U25" s="24">
        <f t="shared" si="6"/>
        <v>0</v>
      </c>
      <c r="V25" s="41">
        <v>48.52</v>
      </c>
      <c r="W25" s="24">
        <v>50</v>
      </c>
      <c r="X25" s="24">
        <f t="shared" si="7"/>
        <v>50</v>
      </c>
      <c r="Y25" s="24">
        <v>11</v>
      </c>
      <c r="Z25" s="24">
        <v>0.7</v>
      </c>
      <c r="AA25" s="24">
        <f t="shared" si="8"/>
        <v>7.699999999999999</v>
      </c>
      <c r="AB25" s="24">
        <v>0</v>
      </c>
      <c r="AC25" s="24">
        <v>70</v>
      </c>
      <c r="AD25" s="24">
        <f t="shared" si="9"/>
        <v>0</v>
      </c>
      <c r="AE25" s="46">
        <f t="shared" si="10"/>
        <v>117.89999999999999</v>
      </c>
      <c r="AF25" s="34" t="s">
        <v>7</v>
      </c>
    </row>
    <row r="26" spans="1:32" ht="15.75">
      <c r="A26" s="2" t="s">
        <v>36</v>
      </c>
      <c r="B26" s="10" t="s">
        <v>21</v>
      </c>
      <c r="C26" s="25" t="s">
        <v>8</v>
      </c>
      <c r="D26" s="27">
        <v>607</v>
      </c>
      <c r="E26" s="8">
        <f t="shared" si="0"/>
        <v>1265</v>
      </c>
      <c r="F26" s="8">
        <v>1150</v>
      </c>
      <c r="G26" s="24">
        <f t="shared" si="1"/>
        <v>115</v>
      </c>
      <c r="H26" s="59"/>
      <c r="I26" s="59">
        <f>410+1+8+44+105+1</f>
        <v>569</v>
      </c>
      <c r="J26" s="40">
        <f t="shared" si="2"/>
        <v>1474.1</v>
      </c>
      <c r="K26" s="8">
        <v>1150</v>
      </c>
      <c r="L26" s="46">
        <f>protokols!K26</f>
        <v>209.1</v>
      </c>
      <c r="M26" s="47">
        <f t="shared" si="3"/>
        <v>1359.1</v>
      </c>
      <c r="N26" s="24">
        <f t="shared" si="4"/>
        <v>115</v>
      </c>
      <c r="P26" s="24">
        <v>85</v>
      </c>
      <c r="Q26" s="24">
        <v>0.7</v>
      </c>
      <c r="R26" s="24">
        <f t="shared" si="5"/>
        <v>59.49999999999999</v>
      </c>
      <c r="S26" s="24">
        <f>1+7</f>
        <v>8</v>
      </c>
      <c r="T26" s="24">
        <v>2</v>
      </c>
      <c r="U26" s="24">
        <f t="shared" si="6"/>
        <v>16</v>
      </c>
      <c r="V26" s="41">
        <v>54</v>
      </c>
      <c r="W26" s="24">
        <v>70</v>
      </c>
      <c r="X26" s="24">
        <f t="shared" si="7"/>
        <v>70</v>
      </c>
      <c r="Y26" s="24">
        <v>9</v>
      </c>
      <c r="Z26" s="24">
        <v>0.7</v>
      </c>
      <c r="AA26" s="24">
        <f t="shared" si="8"/>
        <v>6.3</v>
      </c>
      <c r="AB26" s="24">
        <v>1</v>
      </c>
      <c r="AC26" s="24">
        <v>70</v>
      </c>
      <c r="AD26" s="24">
        <f t="shared" si="9"/>
        <v>70</v>
      </c>
      <c r="AE26" s="46">
        <f t="shared" si="10"/>
        <v>221.8</v>
      </c>
      <c r="AF26" s="34" t="s">
        <v>8</v>
      </c>
    </row>
    <row r="27" spans="1:32" ht="15.75">
      <c r="A27" s="2" t="s">
        <v>37</v>
      </c>
      <c r="B27" s="10" t="s">
        <v>21</v>
      </c>
      <c r="C27" s="25" t="s">
        <v>9</v>
      </c>
      <c r="D27" s="27">
        <v>811</v>
      </c>
      <c r="E27" s="8">
        <f t="shared" si="0"/>
        <v>1320</v>
      </c>
      <c r="F27" s="8">
        <v>1200</v>
      </c>
      <c r="G27" s="24">
        <f t="shared" si="1"/>
        <v>120</v>
      </c>
      <c r="H27" s="59"/>
      <c r="I27" s="59">
        <f>198+464+71+46</f>
        <v>779</v>
      </c>
      <c r="J27" s="40">
        <f t="shared" si="2"/>
        <v>1518.4</v>
      </c>
      <c r="K27" s="8">
        <v>1200</v>
      </c>
      <c r="L27" s="46">
        <f>protokols!K27</f>
        <v>198.4</v>
      </c>
      <c r="M27" s="47">
        <f t="shared" si="3"/>
        <v>1398.4</v>
      </c>
      <c r="N27" s="24">
        <f t="shared" si="4"/>
        <v>120</v>
      </c>
      <c r="P27" s="24">
        <v>95</v>
      </c>
      <c r="Q27" s="24">
        <v>0.7</v>
      </c>
      <c r="R27" s="24">
        <f t="shared" si="5"/>
        <v>66.5</v>
      </c>
      <c r="S27" s="24">
        <v>0</v>
      </c>
      <c r="T27" s="24">
        <v>2</v>
      </c>
      <c r="U27" s="24">
        <f t="shared" si="6"/>
        <v>0</v>
      </c>
      <c r="V27" s="41">
        <v>49.695</v>
      </c>
      <c r="W27" s="24">
        <v>50</v>
      </c>
      <c r="X27" s="24">
        <f t="shared" si="7"/>
        <v>50</v>
      </c>
      <c r="Y27" s="24">
        <v>14</v>
      </c>
      <c r="Z27" s="24">
        <v>0.7</v>
      </c>
      <c r="AA27" s="24">
        <f t="shared" si="8"/>
        <v>9.799999999999999</v>
      </c>
      <c r="AB27" s="24">
        <v>1</v>
      </c>
      <c r="AC27" s="24">
        <v>70</v>
      </c>
      <c r="AD27" s="24">
        <f t="shared" si="9"/>
        <v>70</v>
      </c>
      <c r="AE27" s="46">
        <f t="shared" si="10"/>
        <v>196.3</v>
      </c>
      <c r="AF27" s="34" t="s">
        <v>9</v>
      </c>
    </row>
    <row r="28" spans="1:32" ht="15.75">
      <c r="A28" s="2" t="s">
        <v>38</v>
      </c>
      <c r="B28" s="10" t="s">
        <v>21</v>
      </c>
      <c r="C28" s="25" t="s">
        <v>10</v>
      </c>
      <c r="D28" s="27">
        <v>607</v>
      </c>
      <c r="E28" s="8">
        <f t="shared" si="0"/>
        <v>1265</v>
      </c>
      <c r="F28" s="8">
        <v>1150</v>
      </c>
      <c r="G28" s="24">
        <f t="shared" si="1"/>
        <v>115</v>
      </c>
      <c r="H28" s="59"/>
      <c r="I28" s="59">
        <f>564+80</f>
        <v>644</v>
      </c>
      <c r="J28" s="40">
        <f t="shared" si="2"/>
        <v>1394.5</v>
      </c>
      <c r="K28" s="8">
        <v>1150</v>
      </c>
      <c r="L28" s="46">
        <f>protokols!K28</f>
        <v>129.5</v>
      </c>
      <c r="M28" s="47">
        <f t="shared" si="3"/>
        <v>1279.5</v>
      </c>
      <c r="N28" s="24">
        <f t="shared" si="4"/>
        <v>115</v>
      </c>
      <c r="P28" s="24">
        <v>87</v>
      </c>
      <c r="Q28" s="24">
        <v>0.7</v>
      </c>
      <c r="R28" s="24">
        <f t="shared" si="5"/>
        <v>60.9</v>
      </c>
      <c r="S28" s="24">
        <v>0</v>
      </c>
      <c r="T28" s="24">
        <v>2</v>
      </c>
      <c r="U28" s="24">
        <f t="shared" si="6"/>
        <v>0</v>
      </c>
      <c r="V28" s="41">
        <v>55.974</v>
      </c>
      <c r="W28" s="24">
        <v>70</v>
      </c>
      <c r="X28" s="24">
        <f t="shared" si="7"/>
        <v>70</v>
      </c>
      <c r="Y28" s="24">
        <v>16</v>
      </c>
      <c r="Z28" s="24">
        <v>0.7</v>
      </c>
      <c r="AA28" s="24">
        <f t="shared" si="8"/>
        <v>11.2</v>
      </c>
      <c r="AB28" s="24">
        <v>0</v>
      </c>
      <c r="AC28" s="24">
        <v>70</v>
      </c>
      <c r="AD28" s="24">
        <f t="shared" si="9"/>
        <v>0</v>
      </c>
      <c r="AE28" s="46">
        <f t="shared" si="10"/>
        <v>142.1</v>
      </c>
      <c r="AF28" s="34" t="s">
        <v>10</v>
      </c>
    </row>
    <row r="29" spans="1:32" ht="15.75">
      <c r="A29" s="2" t="s">
        <v>39</v>
      </c>
      <c r="B29" s="10" t="s">
        <v>21</v>
      </c>
      <c r="C29" s="25" t="s">
        <v>11</v>
      </c>
      <c r="D29" s="27">
        <f>599+98</f>
        <v>697</v>
      </c>
      <c r="E29" s="8">
        <f t="shared" si="0"/>
        <v>1265</v>
      </c>
      <c r="F29" s="8">
        <v>1150</v>
      </c>
      <c r="G29" s="24">
        <f t="shared" si="1"/>
        <v>115</v>
      </c>
      <c r="H29" s="59"/>
      <c r="I29" s="59">
        <f>80+504+16+35+56</f>
        <v>691</v>
      </c>
      <c r="J29" s="40">
        <f t="shared" si="2"/>
        <v>1499.3</v>
      </c>
      <c r="K29" s="8">
        <v>1150</v>
      </c>
      <c r="L29" s="46">
        <f>protokols!K29</f>
        <v>234.29999999999998</v>
      </c>
      <c r="M29" s="47">
        <f t="shared" si="3"/>
        <v>1384.3</v>
      </c>
      <c r="N29" s="24">
        <f t="shared" si="4"/>
        <v>115</v>
      </c>
      <c r="P29" s="24">
        <v>118</v>
      </c>
      <c r="Q29" s="24">
        <v>0.7</v>
      </c>
      <c r="R29" s="24">
        <f t="shared" si="5"/>
        <v>82.6</v>
      </c>
      <c r="S29" s="24">
        <v>18</v>
      </c>
      <c r="T29" s="24">
        <v>2</v>
      </c>
      <c r="U29" s="24">
        <f t="shared" si="6"/>
        <v>36</v>
      </c>
      <c r="V29" s="41">
        <v>36.541</v>
      </c>
      <c r="W29" s="24">
        <v>0</v>
      </c>
      <c r="X29" s="24">
        <f t="shared" si="7"/>
        <v>0</v>
      </c>
      <c r="Y29" s="24">
        <v>5</v>
      </c>
      <c r="Z29" s="24">
        <v>0.7</v>
      </c>
      <c r="AA29" s="24">
        <f t="shared" si="8"/>
        <v>3.5</v>
      </c>
      <c r="AB29" s="24">
        <v>1</v>
      </c>
      <c r="AC29" s="24">
        <v>70</v>
      </c>
      <c r="AD29" s="24">
        <f t="shared" si="9"/>
        <v>70</v>
      </c>
      <c r="AE29" s="46">
        <f t="shared" si="10"/>
        <v>192.1</v>
      </c>
      <c r="AF29" s="34" t="s">
        <v>11</v>
      </c>
    </row>
    <row r="30" spans="1:32" ht="15.75">
      <c r="A30" s="2" t="s">
        <v>40</v>
      </c>
      <c r="B30" s="10" t="s">
        <v>21</v>
      </c>
      <c r="C30" s="25" t="s">
        <v>12</v>
      </c>
      <c r="D30" s="27">
        <f>279+395</f>
        <v>674</v>
      </c>
      <c r="E30" s="8">
        <f t="shared" si="0"/>
        <v>1320</v>
      </c>
      <c r="F30" s="8">
        <v>1200</v>
      </c>
      <c r="G30" s="24">
        <f t="shared" si="1"/>
        <v>120</v>
      </c>
      <c r="H30" s="59"/>
      <c r="I30" s="59">
        <f>198+10+35+95+69+269</f>
        <v>676</v>
      </c>
      <c r="J30" s="40">
        <f t="shared" si="2"/>
        <v>1376.7</v>
      </c>
      <c r="K30" s="8">
        <v>1200</v>
      </c>
      <c r="L30" s="46">
        <f>protokols!K30</f>
        <v>56.699999999999996</v>
      </c>
      <c r="M30" s="47">
        <f t="shared" si="3"/>
        <v>1256.7</v>
      </c>
      <c r="N30" s="24">
        <f t="shared" si="4"/>
        <v>120</v>
      </c>
      <c r="P30" s="24">
        <v>69</v>
      </c>
      <c r="Q30" s="24">
        <v>0.7</v>
      </c>
      <c r="R30" s="24">
        <f t="shared" si="5"/>
        <v>48.3</v>
      </c>
      <c r="S30" s="24">
        <v>0</v>
      </c>
      <c r="T30" s="24">
        <v>2</v>
      </c>
      <c r="U30" s="24">
        <f t="shared" si="6"/>
        <v>0</v>
      </c>
      <c r="V30" s="41">
        <v>37.261</v>
      </c>
      <c r="W30" s="24">
        <v>0</v>
      </c>
      <c r="X30" s="24">
        <f t="shared" si="7"/>
        <v>0</v>
      </c>
      <c r="Y30" s="24">
        <v>0</v>
      </c>
      <c r="Z30" s="24">
        <v>0.7</v>
      </c>
      <c r="AA30" s="24">
        <f t="shared" si="8"/>
        <v>0</v>
      </c>
      <c r="AB30" s="24">
        <v>1</v>
      </c>
      <c r="AC30" s="24">
        <v>70</v>
      </c>
      <c r="AD30" s="24">
        <f t="shared" si="9"/>
        <v>70</v>
      </c>
      <c r="AE30" s="46">
        <f t="shared" si="10"/>
        <v>118.3</v>
      </c>
      <c r="AF30" s="34" t="s">
        <v>12</v>
      </c>
    </row>
    <row r="31" spans="1:32" ht="15.75">
      <c r="A31" s="2" t="s">
        <v>41</v>
      </c>
      <c r="B31" s="10" t="s">
        <v>21</v>
      </c>
      <c r="C31" s="25" t="s">
        <v>17</v>
      </c>
      <c r="D31" s="27">
        <v>368</v>
      </c>
      <c r="E31" s="8">
        <f t="shared" si="0"/>
        <v>1210</v>
      </c>
      <c r="F31" s="8">
        <v>1100</v>
      </c>
      <c r="G31" s="24">
        <f t="shared" si="1"/>
        <v>110</v>
      </c>
      <c r="H31" s="59"/>
      <c r="I31" s="59">
        <f>269+17+65</f>
        <v>351</v>
      </c>
      <c r="J31" s="40">
        <f t="shared" si="2"/>
        <v>1390</v>
      </c>
      <c r="K31" s="8">
        <v>1100</v>
      </c>
      <c r="L31" s="46">
        <f>protokols!K31</f>
        <v>180</v>
      </c>
      <c r="M31" s="47">
        <f t="shared" si="3"/>
        <v>1280</v>
      </c>
      <c r="N31" s="24">
        <f t="shared" si="4"/>
        <v>110</v>
      </c>
      <c r="P31" s="24">
        <v>78</v>
      </c>
      <c r="Q31" s="24">
        <v>0.7</v>
      </c>
      <c r="R31" s="24">
        <f t="shared" si="5"/>
        <v>54.599999999999994</v>
      </c>
      <c r="S31" s="24">
        <v>16</v>
      </c>
      <c r="T31" s="24">
        <v>2</v>
      </c>
      <c r="U31" s="24">
        <f t="shared" si="6"/>
        <v>32</v>
      </c>
      <c r="V31" s="41">
        <v>48.181</v>
      </c>
      <c r="W31" s="24">
        <v>50</v>
      </c>
      <c r="X31" s="24">
        <f t="shared" si="7"/>
        <v>50</v>
      </c>
      <c r="Y31" s="24">
        <v>1</v>
      </c>
      <c r="Z31" s="24">
        <v>0.7</v>
      </c>
      <c r="AA31" s="24">
        <f t="shared" si="8"/>
        <v>0.7</v>
      </c>
      <c r="AB31" s="24">
        <v>1</v>
      </c>
      <c r="AC31" s="24">
        <v>70</v>
      </c>
      <c r="AD31" s="24">
        <f t="shared" si="9"/>
        <v>70</v>
      </c>
      <c r="AE31" s="46">
        <f t="shared" si="10"/>
        <v>207.29999999999998</v>
      </c>
      <c r="AF31" s="34" t="s">
        <v>17</v>
      </c>
    </row>
    <row r="32" spans="1:32" ht="15.75">
      <c r="A32" s="2" t="s">
        <v>42</v>
      </c>
      <c r="B32" s="10" t="s">
        <v>21</v>
      </c>
      <c r="C32" s="25" t="s">
        <v>13</v>
      </c>
      <c r="D32" s="27">
        <v>230</v>
      </c>
      <c r="E32" s="8">
        <f t="shared" si="0"/>
        <v>1155</v>
      </c>
      <c r="F32" s="8">
        <v>1050</v>
      </c>
      <c r="G32" s="24">
        <f t="shared" si="1"/>
        <v>105</v>
      </c>
      <c r="H32" s="59"/>
      <c r="I32" s="59">
        <f>177+3+3+33+10+18</f>
        <v>244</v>
      </c>
      <c r="J32" s="40">
        <f t="shared" si="2"/>
        <v>1299.2</v>
      </c>
      <c r="K32" s="8">
        <v>1050</v>
      </c>
      <c r="L32" s="46">
        <f>protokols!K32</f>
        <v>144.2</v>
      </c>
      <c r="M32" s="47">
        <f t="shared" si="3"/>
        <v>1194.2</v>
      </c>
      <c r="N32" s="24">
        <f t="shared" si="4"/>
        <v>105</v>
      </c>
      <c r="P32" s="24">
        <v>53</v>
      </c>
      <c r="Q32" s="24">
        <v>0.7</v>
      </c>
      <c r="R32" s="24">
        <f t="shared" si="5"/>
        <v>37.099999999999994</v>
      </c>
      <c r="S32" s="24">
        <f>3+1+34+9</f>
        <v>47</v>
      </c>
      <c r="T32" s="24">
        <v>2</v>
      </c>
      <c r="U32" s="24">
        <f t="shared" si="6"/>
        <v>94</v>
      </c>
      <c r="V32" s="41">
        <v>43.94</v>
      </c>
      <c r="W32" s="24">
        <v>50</v>
      </c>
      <c r="X32" s="24">
        <f t="shared" si="7"/>
        <v>50</v>
      </c>
      <c r="Y32" s="24">
        <v>12</v>
      </c>
      <c r="Z32" s="24">
        <v>0.7</v>
      </c>
      <c r="AA32" s="24">
        <f t="shared" si="8"/>
        <v>8.399999999999999</v>
      </c>
      <c r="AB32" s="24">
        <v>0</v>
      </c>
      <c r="AC32" s="24">
        <v>70</v>
      </c>
      <c r="AD32" s="24">
        <f t="shared" si="9"/>
        <v>0</v>
      </c>
      <c r="AE32" s="46">
        <f t="shared" si="10"/>
        <v>189.5</v>
      </c>
      <c r="AF32" s="34" t="s">
        <v>13</v>
      </c>
    </row>
    <row r="33" spans="1:32" ht="15.75">
      <c r="A33" s="2" t="s">
        <v>43</v>
      </c>
      <c r="B33" s="10" t="s">
        <v>21</v>
      </c>
      <c r="C33" s="25" t="s">
        <v>14</v>
      </c>
      <c r="D33" s="27">
        <f>261+261</f>
        <v>522</v>
      </c>
      <c r="E33" s="8">
        <f t="shared" si="0"/>
        <v>1265</v>
      </c>
      <c r="F33" s="8">
        <v>1150</v>
      </c>
      <c r="G33" s="24">
        <f t="shared" si="1"/>
        <v>115</v>
      </c>
      <c r="H33" s="59"/>
      <c r="I33" s="59">
        <f>225+251+26</f>
        <v>502</v>
      </c>
      <c r="J33" s="40">
        <f t="shared" si="2"/>
        <v>1412.4</v>
      </c>
      <c r="K33" s="8">
        <v>1150</v>
      </c>
      <c r="L33" s="46">
        <f>protokols!K33</f>
        <v>147.4</v>
      </c>
      <c r="M33" s="47">
        <f t="shared" si="3"/>
        <v>1297.4</v>
      </c>
      <c r="N33" s="24">
        <f t="shared" si="4"/>
        <v>115</v>
      </c>
      <c r="P33" s="24">
        <v>71</v>
      </c>
      <c r="Q33" s="24">
        <v>0.7</v>
      </c>
      <c r="R33" s="24">
        <f t="shared" si="5"/>
        <v>49.699999999999996</v>
      </c>
      <c r="S33" s="24">
        <v>0</v>
      </c>
      <c r="T33" s="24">
        <v>2</v>
      </c>
      <c r="U33" s="24">
        <f t="shared" si="6"/>
        <v>0</v>
      </c>
      <c r="V33" s="41">
        <v>66.66</v>
      </c>
      <c r="W33" s="24">
        <v>90</v>
      </c>
      <c r="X33" s="24">
        <f t="shared" si="7"/>
        <v>90</v>
      </c>
      <c r="Y33" s="24">
        <v>5</v>
      </c>
      <c r="Z33" s="24">
        <v>0.7</v>
      </c>
      <c r="AA33" s="24">
        <f t="shared" si="8"/>
        <v>3.5</v>
      </c>
      <c r="AB33" s="24">
        <v>1</v>
      </c>
      <c r="AC33" s="24">
        <v>70</v>
      </c>
      <c r="AD33" s="24">
        <f t="shared" si="9"/>
        <v>70</v>
      </c>
      <c r="AE33" s="46">
        <f t="shared" si="10"/>
        <v>213.2</v>
      </c>
      <c r="AF33" s="34" t="s">
        <v>14</v>
      </c>
    </row>
    <row r="34" spans="1:32" ht="15.75">
      <c r="A34" s="2" t="s">
        <v>44</v>
      </c>
      <c r="B34" s="10" t="s">
        <v>21</v>
      </c>
      <c r="C34" s="25" t="s">
        <v>15</v>
      </c>
      <c r="D34" s="27">
        <v>468</v>
      </c>
      <c r="E34" s="8">
        <f t="shared" si="0"/>
        <v>1210</v>
      </c>
      <c r="F34" s="8">
        <v>1100</v>
      </c>
      <c r="G34" s="24">
        <f t="shared" si="1"/>
        <v>110</v>
      </c>
      <c r="H34" s="59"/>
      <c r="I34" s="59">
        <f>113+324+12</f>
        <v>449</v>
      </c>
      <c r="J34" s="40">
        <f t="shared" si="2"/>
        <v>1340.4</v>
      </c>
      <c r="K34" s="8">
        <v>1100</v>
      </c>
      <c r="L34" s="46">
        <f>protokols!K34</f>
        <v>130.4</v>
      </c>
      <c r="M34" s="47">
        <f t="shared" si="3"/>
        <v>1230.4</v>
      </c>
      <c r="N34" s="24">
        <f t="shared" si="4"/>
        <v>110</v>
      </c>
      <c r="P34" s="24">
        <v>69</v>
      </c>
      <c r="Q34" s="24">
        <v>0.7</v>
      </c>
      <c r="R34" s="24">
        <f t="shared" si="5"/>
        <v>48.3</v>
      </c>
      <c r="S34" s="24">
        <f>9+5</f>
        <v>14</v>
      </c>
      <c r="T34" s="24">
        <v>2</v>
      </c>
      <c r="U34" s="24">
        <f t="shared" si="6"/>
        <v>28</v>
      </c>
      <c r="V34" s="41">
        <v>47.57</v>
      </c>
      <c r="W34" s="24">
        <v>50</v>
      </c>
      <c r="X34" s="24">
        <f t="shared" si="7"/>
        <v>50</v>
      </c>
      <c r="Y34" s="24">
        <v>5</v>
      </c>
      <c r="Z34" s="24">
        <v>0.7</v>
      </c>
      <c r="AA34" s="24">
        <f t="shared" si="8"/>
        <v>3.5</v>
      </c>
      <c r="AB34" s="24">
        <v>0</v>
      </c>
      <c r="AC34" s="24">
        <v>70</v>
      </c>
      <c r="AD34" s="24">
        <f t="shared" si="9"/>
        <v>0</v>
      </c>
      <c r="AE34" s="46">
        <f t="shared" si="10"/>
        <v>129.8</v>
      </c>
      <c r="AF34" s="34" t="s">
        <v>15</v>
      </c>
    </row>
    <row r="35" spans="1:32" ht="15.75">
      <c r="A35" s="2" t="s">
        <v>45</v>
      </c>
      <c r="B35" s="10" t="s">
        <v>21</v>
      </c>
      <c r="C35" s="25" t="s">
        <v>23</v>
      </c>
      <c r="D35" s="27">
        <v>72</v>
      </c>
      <c r="E35" s="8">
        <f t="shared" si="0"/>
        <v>950</v>
      </c>
      <c r="F35" s="8">
        <v>950</v>
      </c>
      <c r="G35" s="24">
        <f>F35*0%</f>
        <v>0</v>
      </c>
      <c r="H35" s="59"/>
      <c r="I35" s="59">
        <f>3+21+5+21+4+4+8+4</f>
        <v>70</v>
      </c>
      <c r="J35" s="40">
        <f t="shared" si="2"/>
        <v>973.1</v>
      </c>
      <c r="K35" s="8">
        <v>950</v>
      </c>
      <c r="L35" s="46">
        <f>protokols!K35</f>
        <v>23.099999999999998</v>
      </c>
      <c r="M35" s="47">
        <f t="shared" si="3"/>
        <v>973.1</v>
      </c>
      <c r="N35" s="24">
        <f>K35*0%</f>
        <v>0</v>
      </c>
      <c r="P35" s="24">
        <v>30</v>
      </c>
      <c r="Q35" s="24">
        <v>0.7</v>
      </c>
      <c r="R35" s="24">
        <f t="shared" si="5"/>
        <v>21</v>
      </c>
      <c r="S35" s="24">
        <v>0</v>
      </c>
      <c r="T35" s="24">
        <v>2</v>
      </c>
      <c r="U35" s="24">
        <f t="shared" si="6"/>
        <v>0</v>
      </c>
      <c r="V35" s="41">
        <v>0</v>
      </c>
      <c r="W35" s="24">
        <v>0</v>
      </c>
      <c r="X35" s="24">
        <f t="shared" si="7"/>
        <v>0</v>
      </c>
      <c r="Y35" s="24">
        <v>0</v>
      </c>
      <c r="Z35" s="24">
        <v>0.7</v>
      </c>
      <c r="AA35" s="24">
        <f t="shared" si="8"/>
        <v>0</v>
      </c>
      <c r="AB35" s="24">
        <v>0</v>
      </c>
      <c r="AC35" s="24">
        <v>70</v>
      </c>
      <c r="AD35" s="24">
        <f t="shared" si="9"/>
        <v>0</v>
      </c>
      <c r="AE35" s="46">
        <f t="shared" si="10"/>
        <v>21</v>
      </c>
      <c r="AF35" s="34" t="s">
        <v>23</v>
      </c>
    </row>
    <row r="36" spans="1:32" ht="15.75">
      <c r="A36" s="2" t="s">
        <v>46</v>
      </c>
      <c r="B36" s="10" t="s">
        <v>21</v>
      </c>
      <c r="C36" s="25" t="s">
        <v>56</v>
      </c>
      <c r="D36" s="27">
        <v>300</v>
      </c>
      <c r="E36" s="8">
        <f t="shared" si="0"/>
        <v>1050</v>
      </c>
      <c r="F36" s="8">
        <v>1050</v>
      </c>
      <c r="G36" s="24">
        <f>F36*0%</f>
        <v>0</v>
      </c>
      <c r="H36" s="59"/>
      <c r="I36" s="59">
        <f>19+76+125+2+1+1+6</f>
        <v>230</v>
      </c>
      <c r="J36" s="40">
        <f t="shared" si="2"/>
        <v>1198.7</v>
      </c>
      <c r="K36" s="8">
        <v>1050</v>
      </c>
      <c r="L36" s="46">
        <f>protokols!K36</f>
        <v>148.7</v>
      </c>
      <c r="M36" s="47">
        <f t="shared" si="3"/>
        <v>1198.7</v>
      </c>
      <c r="N36" s="24">
        <f>K36*0%</f>
        <v>0</v>
      </c>
      <c r="P36" s="24">
        <f>130</f>
        <v>130</v>
      </c>
      <c r="Q36" s="24">
        <v>0.7</v>
      </c>
      <c r="R36" s="24">
        <f t="shared" si="5"/>
        <v>91</v>
      </c>
      <c r="S36" s="24">
        <v>0</v>
      </c>
      <c r="T36" s="24">
        <v>2</v>
      </c>
      <c r="U36" s="24">
        <f t="shared" si="6"/>
        <v>0</v>
      </c>
      <c r="V36" s="41">
        <v>45.19</v>
      </c>
      <c r="W36" s="24">
        <v>50</v>
      </c>
      <c r="X36" s="24">
        <f t="shared" si="7"/>
        <v>50</v>
      </c>
      <c r="Y36" s="24">
        <v>13</v>
      </c>
      <c r="Z36" s="24">
        <v>0.7</v>
      </c>
      <c r="AA36" s="24">
        <f t="shared" si="8"/>
        <v>9.1</v>
      </c>
      <c r="AB36" s="24">
        <v>0</v>
      </c>
      <c r="AC36" s="24">
        <v>70</v>
      </c>
      <c r="AD36" s="24">
        <f t="shared" si="9"/>
        <v>0</v>
      </c>
      <c r="AE36" s="46">
        <f t="shared" si="10"/>
        <v>150.1</v>
      </c>
      <c r="AF36" s="34" t="s">
        <v>56</v>
      </c>
    </row>
    <row r="37" spans="1:32" ht="32.25" thickBot="1">
      <c r="A37" s="11" t="s">
        <v>47</v>
      </c>
      <c r="B37" s="60" t="s">
        <v>21</v>
      </c>
      <c r="C37" s="61" t="s">
        <v>53</v>
      </c>
      <c r="D37" s="62">
        <v>475</v>
      </c>
      <c r="E37" s="63">
        <f t="shared" si="0"/>
        <v>1210</v>
      </c>
      <c r="F37" s="63">
        <v>1100</v>
      </c>
      <c r="G37" s="36">
        <f t="shared" si="1"/>
        <v>110</v>
      </c>
      <c r="H37" s="64"/>
      <c r="I37" s="65"/>
      <c r="J37" s="66">
        <f t="shared" si="2"/>
        <v>1298</v>
      </c>
      <c r="K37" s="63">
        <v>1100</v>
      </c>
      <c r="L37" s="72">
        <f>protokols!K37</f>
        <v>88</v>
      </c>
      <c r="M37" s="71">
        <f t="shared" si="3"/>
        <v>1188</v>
      </c>
      <c r="N37" s="36">
        <f>K37*10%</f>
        <v>110</v>
      </c>
      <c r="P37" s="35">
        <v>76</v>
      </c>
      <c r="Q37" s="24">
        <v>0.7</v>
      </c>
      <c r="R37" s="35">
        <f t="shared" si="5"/>
        <v>53.199999999999996</v>
      </c>
      <c r="S37" s="35">
        <v>0</v>
      </c>
      <c r="T37" s="24">
        <v>2</v>
      </c>
      <c r="U37" s="35">
        <f t="shared" si="6"/>
        <v>0</v>
      </c>
      <c r="V37" s="35">
        <v>28.433</v>
      </c>
      <c r="W37" s="35">
        <v>0</v>
      </c>
      <c r="X37" s="35">
        <f t="shared" si="7"/>
        <v>0</v>
      </c>
      <c r="Y37" s="35">
        <v>3</v>
      </c>
      <c r="Z37" s="69">
        <v>0.7</v>
      </c>
      <c r="AA37" s="69">
        <f t="shared" si="8"/>
        <v>2.0999999999999996</v>
      </c>
      <c r="AB37" s="36">
        <v>1</v>
      </c>
      <c r="AC37" s="69">
        <v>150</v>
      </c>
      <c r="AD37" s="69">
        <v>95</v>
      </c>
      <c r="AE37" s="70">
        <f t="shared" si="10"/>
        <v>150.3</v>
      </c>
      <c r="AF37" s="38" t="s">
        <v>79</v>
      </c>
    </row>
    <row r="38" spans="1:32" ht="16.5" hidden="1" thickBot="1">
      <c r="A38" s="48" t="s">
        <v>48</v>
      </c>
      <c r="B38" s="49" t="s">
        <v>2</v>
      </c>
      <c r="C38" s="50" t="s">
        <v>20</v>
      </c>
      <c r="D38" s="51" t="s">
        <v>51</v>
      </c>
      <c r="E38" s="52">
        <v>1430</v>
      </c>
      <c r="F38" s="53">
        <v>0</v>
      </c>
      <c r="G38" s="54">
        <v>1430</v>
      </c>
      <c r="H38" s="28"/>
      <c r="I38" s="18"/>
      <c r="J38" s="55">
        <v>1430</v>
      </c>
      <c r="K38" s="53">
        <v>0</v>
      </c>
      <c r="L38" s="56">
        <v>0</v>
      </c>
      <c r="M38" s="67">
        <v>0</v>
      </c>
      <c r="N38" s="54">
        <v>1430</v>
      </c>
      <c r="P38" s="17"/>
      <c r="Q38" s="17"/>
      <c r="R38" s="17"/>
      <c r="S38" s="17"/>
      <c r="T38" s="17"/>
      <c r="U38" s="17"/>
      <c r="V38" s="12"/>
      <c r="W38" s="12"/>
      <c r="X38" s="12"/>
      <c r="Y38" s="12"/>
      <c r="Z38" s="12"/>
      <c r="AA38" s="12"/>
      <c r="AB38" s="17"/>
      <c r="AC38" s="17"/>
      <c r="AD38" s="17"/>
      <c r="AE38" s="17"/>
      <c r="AF38" s="17"/>
    </row>
    <row r="39" spans="3:32" ht="15" customHeight="1" hidden="1">
      <c r="C39" s="12" t="s">
        <v>57</v>
      </c>
      <c r="V39" s="12" t="s">
        <v>80</v>
      </c>
      <c r="AF39" s="12"/>
    </row>
    <row r="40" spans="1:31" ht="15" customHeight="1" hidden="1">
      <c r="A40" s="12"/>
      <c r="B40" s="4"/>
      <c r="E40" s="19"/>
      <c r="J40" s="19"/>
      <c r="P40" s="12"/>
      <c r="Q40" s="12"/>
      <c r="R40" s="12"/>
      <c r="S40" s="12"/>
      <c r="T40" s="12"/>
      <c r="U40" s="12"/>
      <c r="V40" s="12" t="s">
        <v>81</v>
      </c>
      <c r="Y40" s="12"/>
      <c r="Z40" s="12"/>
      <c r="AA40" s="12"/>
      <c r="AB40" s="12"/>
      <c r="AC40" s="12"/>
      <c r="AD40" s="12"/>
      <c r="AE40" s="12"/>
    </row>
    <row r="41" spans="1:31" ht="15" customHeight="1" hidden="1">
      <c r="A41" s="12"/>
      <c r="B41" s="4"/>
      <c r="F41" s="16"/>
      <c r="G41" s="17"/>
      <c r="K41" s="16"/>
      <c r="L41" s="16"/>
      <c r="M41" s="16"/>
      <c r="N41" s="17"/>
      <c r="P41" s="12"/>
      <c r="Q41" s="12"/>
      <c r="R41" s="12"/>
      <c r="S41" s="12"/>
      <c r="T41" s="12"/>
      <c r="U41" s="12"/>
      <c r="V41" s="12"/>
      <c r="Y41" s="12"/>
      <c r="Z41" s="12"/>
      <c r="AA41" s="12"/>
      <c r="AB41" s="12"/>
      <c r="AC41" s="12"/>
      <c r="AD41" s="12"/>
      <c r="AE41" s="12"/>
    </row>
    <row r="42" spans="1:31" ht="15" customHeight="1" hidden="1">
      <c r="A42" s="120" t="s">
        <v>28</v>
      </c>
      <c r="B42" s="120"/>
      <c r="C42" s="120"/>
      <c r="D42" s="23" t="s">
        <v>52</v>
      </c>
      <c r="F42" s="16"/>
      <c r="G42" s="17"/>
      <c r="K42" s="16"/>
      <c r="L42" s="16"/>
      <c r="M42" s="16"/>
      <c r="N42" s="17"/>
      <c r="P42" s="12"/>
      <c r="Q42" s="12"/>
      <c r="R42" s="12"/>
      <c r="S42" s="12"/>
      <c r="T42" s="12"/>
      <c r="U42" s="12"/>
      <c r="V42" s="12"/>
      <c r="Y42" s="12"/>
      <c r="Z42" s="12"/>
      <c r="AA42" s="12"/>
      <c r="AB42" s="12"/>
      <c r="AC42" s="12"/>
      <c r="AD42" s="12"/>
      <c r="AE42" s="12"/>
    </row>
    <row r="43" spans="2:20" s="1" customFormat="1" ht="13.5" customHeight="1" hidden="1">
      <c r="B43" s="9"/>
      <c r="E43" s="22"/>
      <c r="J43" s="22"/>
      <c r="L43" s="45"/>
      <c r="P43" s="12"/>
      <c r="Q43" s="12"/>
      <c r="R43" s="12"/>
      <c r="S43" s="12"/>
      <c r="T43" s="12"/>
    </row>
    <row r="44" spans="16:24" ht="15">
      <c r="P44" s="17"/>
      <c r="Q44" s="17"/>
      <c r="R44" s="17"/>
      <c r="S44" s="17"/>
      <c r="T44" s="17"/>
      <c r="V44" s="12" t="s">
        <v>86</v>
      </c>
      <c r="W44" s="12" t="s">
        <v>66</v>
      </c>
      <c r="X44" s="12" t="s">
        <v>65</v>
      </c>
    </row>
    <row r="45" spans="16:24" ht="15">
      <c r="P45" s="17"/>
      <c r="Q45" s="17"/>
      <c r="R45" s="17"/>
      <c r="S45" s="17"/>
      <c r="T45" s="17"/>
      <c r="W45" s="12" t="s">
        <v>67</v>
      </c>
      <c r="X45" s="12" t="s">
        <v>70</v>
      </c>
    </row>
    <row r="46" spans="16:24" ht="15">
      <c r="P46" s="17"/>
      <c r="Q46" s="17"/>
      <c r="R46" s="17"/>
      <c r="S46" s="17"/>
      <c r="T46" s="17"/>
      <c r="W46" s="12" t="s">
        <v>68</v>
      </c>
      <c r="X46" s="12" t="s">
        <v>88</v>
      </c>
    </row>
    <row r="47" spans="23:24" ht="15">
      <c r="W47" s="12" t="s">
        <v>69</v>
      </c>
      <c r="X47" s="12" t="s">
        <v>89</v>
      </c>
    </row>
  </sheetData>
  <sheetProtection/>
  <mergeCells count="34">
    <mergeCell ref="AB13:AB18"/>
    <mergeCell ref="AC13:AC18"/>
    <mergeCell ref="AD13:AD18"/>
    <mergeCell ref="Q13:Q18"/>
    <mergeCell ref="R13:R18"/>
    <mergeCell ref="S13:S18"/>
    <mergeCell ref="T13:T18"/>
    <mergeCell ref="L13:L18"/>
    <mergeCell ref="M13:M18"/>
    <mergeCell ref="U13:U18"/>
    <mergeCell ref="A9:L9"/>
    <mergeCell ref="A10:L10"/>
    <mergeCell ref="A11:L11"/>
    <mergeCell ref="J13:J18"/>
    <mergeCell ref="A42:C42"/>
    <mergeCell ref="V13:V18"/>
    <mergeCell ref="N13:N18"/>
    <mergeCell ref="AE13:AE18"/>
    <mergeCell ref="W13:W18"/>
    <mergeCell ref="X13:X18"/>
    <mergeCell ref="Y13:Y18"/>
    <mergeCell ref="Z13:Z18"/>
    <mergeCell ref="P13:P18"/>
    <mergeCell ref="K13:K18"/>
    <mergeCell ref="AF13:AF18"/>
    <mergeCell ref="AA13:AA18"/>
    <mergeCell ref="P12:AE12"/>
    <mergeCell ref="A13:A18"/>
    <mergeCell ref="B13:B18"/>
    <mergeCell ref="C13:C18"/>
    <mergeCell ref="D13:D18"/>
    <mergeCell ref="E13:E18"/>
    <mergeCell ref="F13:F18"/>
    <mergeCell ref="G13:G18"/>
  </mergeCells>
  <printOptions/>
  <pageMargins left="0.5118110236220472" right="0.5118110236220472" top="1.4960629921259843" bottom="0.5118110236220472"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K47"/>
  <sheetViews>
    <sheetView tabSelected="1" zoomScale="80" zoomScaleNormal="80" zoomScalePageLayoutView="0" workbookViewId="0" topLeftCell="A37">
      <selection activeCell="A42" sqref="A42:C42"/>
    </sheetView>
  </sheetViews>
  <sheetFormatPr defaultColWidth="9.140625" defaultRowHeight="15"/>
  <cols>
    <col min="1" max="1" width="9.140625" style="4" customWidth="1"/>
    <col min="2" max="2" width="13.57421875" style="5" hidden="1" customWidth="1"/>
    <col min="3" max="3" width="59.8515625" style="4" customWidth="1"/>
    <col min="4" max="4" width="14.00390625" style="4" customWidth="1"/>
    <col min="5" max="5" width="15.00390625" style="21" hidden="1" customWidth="1"/>
    <col min="6" max="7" width="17.421875" style="4" hidden="1" customWidth="1"/>
    <col min="8" max="9" width="0" style="4" hidden="1" customWidth="1"/>
    <col min="10" max="10" width="15.00390625" style="21" customWidth="1"/>
    <col min="11" max="11" width="17.421875" style="4" hidden="1" customWidth="1"/>
    <col min="12" max="12" width="17.421875" style="17" hidden="1" customWidth="1"/>
    <col min="13" max="14" width="17.421875" style="4" customWidth="1"/>
    <col min="15" max="15" width="0" style="4" hidden="1" customWidth="1"/>
    <col min="16" max="23" width="14.7109375" style="4" hidden="1" customWidth="1"/>
    <col min="24" max="24" width="16.28125" style="4" hidden="1" customWidth="1"/>
    <col min="25" max="31" width="14.7109375" style="4" hidden="1" customWidth="1"/>
    <col min="32" max="32" width="59.8515625" style="4" hidden="1" customWidth="1"/>
    <col min="33" max="16384" width="9.140625" style="4" customWidth="1"/>
  </cols>
  <sheetData>
    <row r="2" spans="3:32" ht="31.5" customHeight="1">
      <c r="C2" s="6"/>
      <c r="D2" s="7"/>
      <c r="E2" s="19"/>
      <c r="F2" s="12"/>
      <c r="J2" s="19"/>
      <c r="AF2" s="6"/>
    </row>
    <row r="3" spans="1:18" s="14" customFormat="1" ht="15.75">
      <c r="A3" s="13"/>
      <c r="B3" s="13"/>
      <c r="D3" s="15"/>
      <c r="E3" s="20"/>
      <c r="J3" s="15" t="s">
        <v>27</v>
      </c>
      <c r="K3" s="20"/>
      <c r="P3" s="20"/>
      <c r="R3" s="43"/>
    </row>
    <row r="4" spans="1:18" s="14" customFormat="1" ht="15.75">
      <c r="A4" s="13"/>
      <c r="B4" s="13"/>
      <c r="D4" s="15"/>
      <c r="E4" s="20"/>
      <c r="J4" s="15" t="s">
        <v>25</v>
      </c>
      <c r="K4" s="20"/>
      <c r="P4" s="20"/>
      <c r="R4" s="43"/>
    </row>
    <row r="5" spans="1:18" s="14" customFormat="1" ht="15.75">
      <c r="A5" s="13"/>
      <c r="B5" s="13"/>
      <c r="D5" s="15"/>
      <c r="E5" s="20"/>
      <c r="J5" s="15" t="s">
        <v>26</v>
      </c>
      <c r="K5" s="20"/>
      <c r="P5" s="20"/>
      <c r="R5" s="43"/>
    </row>
    <row r="6" spans="1:18" s="14" customFormat="1" ht="15.75">
      <c r="A6" s="13"/>
      <c r="B6" s="13"/>
      <c r="D6" s="15"/>
      <c r="E6" s="20"/>
      <c r="J6" s="15" t="s">
        <v>103</v>
      </c>
      <c r="K6" s="20"/>
      <c r="P6" s="20"/>
      <c r="R6" s="43"/>
    </row>
    <row r="7" spans="1:18" s="14" customFormat="1" ht="15.75">
      <c r="A7" s="13"/>
      <c r="B7" s="13"/>
      <c r="D7" s="15"/>
      <c r="E7" s="20"/>
      <c r="J7" s="15" t="s">
        <v>104</v>
      </c>
      <c r="K7" s="20"/>
      <c r="P7" s="20"/>
      <c r="R7" s="43"/>
    </row>
    <row r="8" spans="1:12" s="14" customFormat="1" ht="15.75">
      <c r="A8" s="13"/>
      <c r="B8" s="13"/>
      <c r="D8" s="15"/>
      <c r="E8" s="20"/>
      <c r="J8" s="20"/>
      <c r="L8" s="43"/>
    </row>
    <row r="9" spans="1:14" ht="29.25" customHeight="1">
      <c r="A9" s="97" t="s">
        <v>24</v>
      </c>
      <c r="B9" s="97"/>
      <c r="C9" s="97"/>
      <c r="D9" s="97"/>
      <c r="E9" s="97"/>
      <c r="F9" s="97"/>
      <c r="G9" s="97"/>
      <c r="H9" s="97"/>
      <c r="I9" s="97"/>
      <c r="J9" s="97"/>
      <c r="K9" s="97"/>
      <c r="L9" s="97"/>
      <c r="M9" s="97"/>
      <c r="N9" s="97"/>
    </row>
    <row r="10" spans="1:14" ht="18.75">
      <c r="A10" s="98" t="s">
        <v>85</v>
      </c>
      <c r="B10" s="98"/>
      <c r="C10" s="98"/>
      <c r="D10" s="98"/>
      <c r="E10" s="98"/>
      <c r="F10" s="98"/>
      <c r="G10" s="98"/>
      <c r="H10" s="98"/>
      <c r="I10" s="98"/>
      <c r="J10" s="98"/>
      <c r="K10" s="98"/>
      <c r="L10" s="98"/>
      <c r="M10" s="98"/>
      <c r="N10" s="98"/>
    </row>
    <row r="11" spans="1:14" ht="19.5">
      <c r="A11" s="98" t="s">
        <v>87</v>
      </c>
      <c r="B11" s="98"/>
      <c r="C11" s="98"/>
      <c r="D11" s="98"/>
      <c r="E11" s="98"/>
      <c r="F11" s="98"/>
      <c r="G11" s="98"/>
      <c r="H11" s="98"/>
      <c r="I11" s="98"/>
      <c r="J11" s="98"/>
      <c r="K11" s="98"/>
      <c r="L11" s="98"/>
      <c r="M11" s="98"/>
      <c r="N11" s="98"/>
    </row>
    <row r="12" spans="3:31" ht="35.25" customHeight="1" thickBot="1">
      <c r="C12" s="4" t="s">
        <v>0</v>
      </c>
      <c r="P12" s="99" t="s">
        <v>64</v>
      </c>
      <c r="Q12" s="99"/>
      <c r="R12" s="99"/>
      <c r="S12" s="99"/>
      <c r="T12" s="99"/>
      <c r="U12" s="99"/>
      <c r="V12" s="99"/>
      <c r="W12" s="99"/>
      <c r="X12" s="99"/>
      <c r="Y12" s="99"/>
      <c r="Z12" s="99"/>
      <c r="AA12" s="99"/>
      <c r="AB12" s="99"/>
      <c r="AC12" s="99"/>
      <c r="AD12" s="99"/>
      <c r="AE12" s="99"/>
    </row>
    <row r="13" spans="1:32" ht="15" customHeight="1">
      <c r="A13" s="100" t="s">
        <v>18</v>
      </c>
      <c r="B13" s="103" t="s">
        <v>19</v>
      </c>
      <c r="C13" s="106" t="s">
        <v>1</v>
      </c>
      <c r="D13" s="109" t="s">
        <v>96</v>
      </c>
      <c r="E13" s="111" t="s">
        <v>55</v>
      </c>
      <c r="F13" s="111" t="s">
        <v>49</v>
      </c>
      <c r="G13" s="113" t="s">
        <v>50</v>
      </c>
      <c r="J13" s="111" t="s">
        <v>97</v>
      </c>
      <c r="K13" s="111" t="s">
        <v>59</v>
      </c>
      <c r="L13" s="123" t="s">
        <v>58</v>
      </c>
      <c r="M13" s="111" t="s">
        <v>49</v>
      </c>
      <c r="N13" s="113" t="s">
        <v>50</v>
      </c>
      <c r="P13" s="113" t="s">
        <v>72</v>
      </c>
      <c r="Q13" s="113" t="s">
        <v>74</v>
      </c>
      <c r="R13" s="113" t="s">
        <v>61</v>
      </c>
      <c r="S13" s="113" t="s">
        <v>62</v>
      </c>
      <c r="T13" s="113" t="s">
        <v>74</v>
      </c>
      <c r="U13" s="113" t="s">
        <v>63</v>
      </c>
      <c r="V13" s="113" t="s">
        <v>76</v>
      </c>
      <c r="W13" s="113" t="s">
        <v>74</v>
      </c>
      <c r="X13" s="113" t="s">
        <v>77</v>
      </c>
      <c r="Y13" s="113" t="s">
        <v>73</v>
      </c>
      <c r="Z13" s="113" t="s">
        <v>74</v>
      </c>
      <c r="AA13" s="113" t="s">
        <v>82</v>
      </c>
      <c r="AB13" s="113" t="s">
        <v>83</v>
      </c>
      <c r="AC13" s="113" t="s">
        <v>74</v>
      </c>
      <c r="AD13" s="113" t="s">
        <v>71</v>
      </c>
      <c r="AE13" s="113" t="s">
        <v>75</v>
      </c>
      <c r="AF13" s="117" t="s">
        <v>1</v>
      </c>
    </row>
    <row r="14" spans="1:32" ht="15" customHeight="1">
      <c r="A14" s="101"/>
      <c r="B14" s="104"/>
      <c r="C14" s="107"/>
      <c r="D14" s="110"/>
      <c r="E14" s="112"/>
      <c r="F14" s="112"/>
      <c r="G14" s="114"/>
      <c r="J14" s="112"/>
      <c r="K14" s="112"/>
      <c r="L14" s="124"/>
      <c r="M14" s="112"/>
      <c r="N14" s="114"/>
      <c r="P14" s="114"/>
      <c r="Q14" s="114"/>
      <c r="R14" s="114"/>
      <c r="S14" s="114"/>
      <c r="T14" s="114"/>
      <c r="U14" s="114"/>
      <c r="V14" s="114"/>
      <c r="W14" s="114"/>
      <c r="X14" s="114"/>
      <c r="Y14" s="114"/>
      <c r="Z14" s="114"/>
      <c r="AA14" s="114"/>
      <c r="AB14" s="114"/>
      <c r="AC14" s="114"/>
      <c r="AD14" s="114"/>
      <c r="AE14" s="114"/>
      <c r="AF14" s="118"/>
    </row>
    <row r="15" spans="1:32" ht="15.75" customHeight="1">
      <c r="A15" s="101"/>
      <c r="B15" s="104"/>
      <c r="C15" s="107"/>
      <c r="D15" s="110"/>
      <c r="E15" s="112"/>
      <c r="F15" s="112"/>
      <c r="G15" s="114"/>
      <c r="J15" s="112"/>
      <c r="K15" s="112"/>
      <c r="L15" s="124"/>
      <c r="M15" s="112"/>
      <c r="N15" s="114"/>
      <c r="P15" s="114"/>
      <c r="Q15" s="114"/>
      <c r="R15" s="114"/>
      <c r="S15" s="114"/>
      <c r="T15" s="114"/>
      <c r="U15" s="114"/>
      <c r="V15" s="114"/>
      <c r="W15" s="114"/>
      <c r="X15" s="114"/>
      <c r="Y15" s="114"/>
      <c r="Z15" s="114"/>
      <c r="AA15" s="114"/>
      <c r="AB15" s="114"/>
      <c r="AC15" s="114"/>
      <c r="AD15" s="114"/>
      <c r="AE15" s="114"/>
      <c r="AF15" s="118"/>
    </row>
    <row r="16" spans="1:32" ht="15.75" customHeight="1">
      <c r="A16" s="101"/>
      <c r="B16" s="104"/>
      <c r="C16" s="107"/>
      <c r="D16" s="110"/>
      <c r="E16" s="112"/>
      <c r="F16" s="112"/>
      <c r="G16" s="114"/>
      <c r="J16" s="112"/>
      <c r="K16" s="112"/>
      <c r="L16" s="124"/>
      <c r="M16" s="112"/>
      <c r="N16" s="114"/>
      <c r="P16" s="114"/>
      <c r="Q16" s="114"/>
      <c r="R16" s="114"/>
      <c r="S16" s="114"/>
      <c r="T16" s="114"/>
      <c r="U16" s="114"/>
      <c r="V16" s="114"/>
      <c r="W16" s="114"/>
      <c r="X16" s="114"/>
      <c r="Y16" s="114"/>
      <c r="Z16" s="114"/>
      <c r="AA16" s="114"/>
      <c r="AB16" s="114"/>
      <c r="AC16" s="114"/>
      <c r="AD16" s="114"/>
      <c r="AE16" s="114"/>
      <c r="AF16" s="118"/>
    </row>
    <row r="17" spans="1:32" ht="15.75" customHeight="1">
      <c r="A17" s="101"/>
      <c r="B17" s="104"/>
      <c r="C17" s="107"/>
      <c r="D17" s="110"/>
      <c r="E17" s="112"/>
      <c r="F17" s="112"/>
      <c r="G17" s="114"/>
      <c r="J17" s="112"/>
      <c r="K17" s="112"/>
      <c r="L17" s="124"/>
      <c r="M17" s="112"/>
      <c r="N17" s="114"/>
      <c r="P17" s="114"/>
      <c r="Q17" s="114"/>
      <c r="R17" s="114"/>
      <c r="S17" s="114"/>
      <c r="T17" s="114"/>
      <c r="U17" s="114"/>
      <c r="V17" s="114"/>
      <c r="W17" s="114"/>
      <c r="X17" s="114"/>
      <c r="Y17" s="114"/>
      <c r="Z17" s="114"/>
      <c r="AA17" s="114"/>
      <c r="AB17" s="114"/>
      <c r="AC17" s="114"/>
      <c r="AD17" s="114"/>
      <c r="AE17" s="114"/>
      <c r="AF17" s="118"/>
    </row>
    <row r="18" spans="1:37" ht="48.75" customHeight="1">
      <c r="A18" s="102"/>
      <c r="B18" s="105"/>
      <c r="C18" s="108"/>
      <c r="D18" s="110"/>
      <c r="E18" s="112"/>
      <c r="F18" s="112"/>
      <c r="G18" s="114"/>
      <c r="J18" s="112"/>
      <c r="K18" s="112"/>
      <c r="L18" s="124"/>
      <c r="M18" s="112"/>
      <c r="N18" s="114"/>
      <c r="P18" s="114"/>
      <c r="Q18" s="114"/>
      <c r="R18" s="114"/>
      <c r="S18" s="114"/>
      <c r="T18" s="114"/>
      <c r="U18" s="114"/>
      <c r="V18" s="114"/>
      <c r="W18" s="114"/>
      <c r="X18" s="114"/>
      <c r="Y18" s="114"/>
      <c r="Z18" s="114"/>
      <c r="AA18" s="114"/>
      <c r="AB18" s="114"/>
      <c r="AC18" s="114"/>
      <c r="AD18" s="114"/>
      <c r="AE18" s="114"/>
      <c r="AF18" s="119"/>
      <c r="AK18" s="18"/>
    </row>
    <row r="19" spans="1:37" ht="15.75" customHeight="1">
      <c r="A19" s="2" t="s">
        <v>29</v>
      </c>
      <c r="B19" s="10" t="s">
        <v>21</v>
      </c>
      <c r="C19" s="25" t="s">
        <v>3</v>
      </c>
      <c r="D19" s="27">
        <f>protokols!D19</f>
        <v>272</v>
      </c>
      <c r="E19" s="8">
        <f>F19+G19</f>
        <v>1155</v>
      </c>
      <c r="F19" s="8">
        <v>1050</v>
      </c>
      <c r="G19" s="24">
        <f>F19*10%</f>
        <v>105</v>
      </c>
      <c r="H19" s="18"/>
      <c r="I19" s="18">
        <f>118+36+96+54</f>
        <v>304</v>
      </c>
      <c r="J19" s="40">
        <f>protokols!N19</f>
        <v>1352.6000000000001</v>
      </c>
      <c r="K19" s="8">
        <v>1050</v>
      </c>
      <c r="L19" s="44">
        <f>AE19</f>
        <v>106.4</v>
      </c>
      <c r="M19" s="39">
        <f>protokols!L19</f>
        <v>1241.7</v>
      </c>
      <c r="N19" s="46">
        <f>protokols!M19</f>
        <v>110.9</v>
      </c>
      <c r="P19" s="24">
        <v>52</v>
      </c>
      <c r="Q19" s="24">
        <v>0.7</v>
      </c>
      <c r="R19" s="24">
        <f>P19*Q19</f>
        <v>36.4</v>
      </c>
      <c r="S19" s="24">
        <v>0</v>
      </c>
      <c r="T19" s="24">
        <v>2</v>
      </c>
      <c r="U19" s="24">
        <f>S19*T19</f>
        <v>0</v>
      </c>
      <c r="V19" s="41">
        <v>70.42</v>
      </c>
      <c r="W19" s="24">
        <v>90</v>
      </c>
      <c r="X19" s="24">
        <f>W19</f>
        <v>90</v>
      </c>
      <c r="Y19" s="24">
        <v>5</v>
      </c>
      <c r="Z19" s="24">
        <v>0.7</v>
      </c>
      <c r="AA19" s="24">
        <f>Y19*Z19</f>
        <v>3.5</v>
      </c>
      <c r="AB19" s="24">
        <v>1</v>
      </c>
      <c r="AC19" s="24">
        <v>70</v>
      </c>
      <c r="AD19" s="24">
        <f>AB19*AC19</f>
        <v>70</v>
      </c>
      <c r="AE19" s="46">
        <f>SUM(R19+U19+AD19)</f>
        <v>106.4</v>
      </c>
      <c r="AF19" s="34" t="s">
        <v>78</v>
      </c>
      <c r="AI19" s="18"/>
      <c r="AJ19" s="18"/>
      <c r="AK19" s="18"/>
    </row>
    <row r="20" spans="1:37" ht="15.75">
      <c r="A20" s="2" t="s">
        <v>30</v>
      </c>
      <c r="B20" s="10" t="s">
        <v>21</v>
      </c>
      <c r="C20" s="25" t="s">
        <v>4</v>
      </c>
      <c r="D20" s="27">
        <f>protokols!D20</f>
        <v>742</v>
      </c>
      <c r="E20" s="8">
        <f aca="true" t="shared" si="0" ref="E20:E37">F20+G20</f>
        <v>1265</v>
      </c>
      <c r="F20" s="8">
        <v>1150</v>
      </c>
      <c r="G20" s="24">
        <f aca="true" t="shared" si="1" ref="G20:G37">F20*10%</f>
        <v>115</v>
      </c>
      <c r="H20" s="18"/>
      <c r="I20" s="18">
        <f>551+137+26</f>
        <v>714</v>
      </c>
      <c r="J20" s="40">
        <f>protokols!N20</f>
        <v>1494</v>
      </c>
      <c r="K20" s="8">
        <v>1150</v>
      </c>
      <c r="L20" s="44">
        <f aca="true" t="shared" si="2" ref="L20:L37">AE20</f>
        <v>242.6</v>
      </c>
      <c r="M20" s="39">
        <f>protokols!L20</f>
        <v>1373.3</v>
      </c>
      <c r="N20" s="46">
        <f>protokols!M20</f>
        <v>121.4</v>
      </c>
      <c r="P20" s="24">
        <v>95</v>
      </c>
      <c r="Q20" s="24">
        <v>0.7</v>
      </c>
      <c r="R20" s="24">
        <f aca="true" t="shared" si="3" ref="R20:R37">P20*Q20</f>
        <v>66.5</v>
      </c>
      <c r="S20" s="24">
        <v>0</v>
      </c>
      <c r="T20" s="24">
        <v>2</v>
      </c>
      <c r="U20" s="24">
        <f aca="true" t="shared" si="4" ref="U20:U37">S20*T20</f>
        <v>0</v>
      </c>
      <c r="V20" s="41">
        <v>69.64</v>
      </c>
      <c r="W20" s="24">
        <v>90</v>
      </c>
      <c r="X20" s="24">
        <f aca="true" t="shared" si="5" ref="X20:X37">W20</f>
        <v>90</v>
      </c>
      <c r="Y20" s="24">
        <v>23</v>
      </c>
      <c r="Z20" s="24">
        <v>0.7</v>
      </c>
      <c r="AA20" s="24">
        <f aca="true" t="shared" si="6" ref="AA20:AA37">Y20*Z20</f>
        <v>16.099999999999998</v>
      </c>
      <c r="AB20" s="24">
        <v>1</v>
      </c>
      <c r="AC20" s="24">
        <v>70</v>
      </c>
      <c r="AD20" s="24">
        <f aca="true" t="shared" si="7" ref="AD20:AD37">AB20*AC20</f>
        <v>70</v>
      </c>
      <c r="AE20" s="46">
        <f>SUM(R20+U20+X20+AA20+AD20)</f>
        <v>242.6</v>
      </c>
      <c r="AF20" s="34" t="s">
        <v>4</v>
      </c>
      <c r="AI20" s="18"/>
      <c r="AJ20" s="18"/>
      <c r="AK20" s="18"/>
    </row>
    <row r="21" spans="1:37" ht="15.75">
      <c r="A21" s="2" t="s">
        <v>31</v>
      </c>
      <c r="B21" s="10" t="s">
        <v>21</v>
      </c>
      <c r="C21" s="25" t="s">
        <v>5</v>
      </c>
      <c r="D21" s="27">
        <f>protokols!D21</f>
        <v>786</v>
      </c>
      <c r="E21" s="30">
        <f t="shared" si="0"/>
        <v>1265</v>
      </c>
      <c r="F21" s="30">
        <v>1150</v>
      </c>
      <c r="G21" s="31">
        <f t="shared" si="1"/>
        <v>115</v>
      </c>
      <c r="H21" s="18"/>
      <c r="I21" s="18">
        <f>260+386+153</f>
        <v>799</v>
      </c>
      <c r="J21" s="40">
        <f>protokols!N21</f>
        <v>1495.4</v>
      </c>
      <c r="K21" s="30">
        <v>1150</v>
      </c>
      <c r="L21" s="44">
        <f t="shared" si="2"/>
        <v>228.59999999999997</v>
      </c>
      <c r="M21" s="39">
        <f>protokols!L21</f>
        <v>1374</v>
      </c>
      <c r="N21" s="46">
        <f>protokols!M21</f>
        <v>121.4</v>
      </c>
      <c r="P21" s="31">
        <v>92</v>
      </c>
      <c r="Q21" s="24">
        <v>0.7</v>
      </c>
      <c r="R21" s="24">
        <f t="shared" si="3"/>
        <v>64.39999999999999</v>
      </c>
      <c r="S21" s="31">
        <v>0</v>
      </c>
      <c r="T21" s="24">
        <v>2</v>
      </c>
      <c r="U21" s="24">
        <f t="shared" si="4"/>
        <v>0</v>
      </c>
      <c r="V21" s="42">
        <v>60.434</v>
      </c>
      <c r="W21" s="31">
        <v>90</v>
      </c>
      <c r="X21" s="24">
        <f t="shared" si="5"/>
        <v>90</v>
      </c>
      <c r="Y21" s="31">
        <v>6</v>
      </c>
      <c r="Z21" s="24">
        <v>0.7</v>
      </c>
      <c r="AA21" s="24">
        <f t="shared" si="6"/>
        <v>4.199999999999999</v>
      </c>
      <c r="AB21" s="31">
        <v>1</v>
      </c>
      <c r="AC21" s="24">
        <v>70</v>
      </c>
      <c r="AD21" s="24">
        <f t="shared" si="7"/>
        <v>70</v>
      </c>
      <c r="AE21" s="46">
        <f aca="true" t="shared" si="8" ref="AE21:AE37">SUM(R21+U21+X21+AA21+AD21)</f>
        <v>228.59999999999997</v>
      </c>
      <c r="AF21" s="34" t="s">
        <v>5</v>
      </c>
      <c r="AI21" s="18"/>
      <c r="AJ21" s="18"/>
      <c r="AK21" s="18"/>
    </row>
    <row r="22" spans="1:37" ht="15.75">
      <c r="A22" s="2" t="s">
        <v>32</v>
      </c>
      <c r="B22" s="10" t="s">
        <v>21</v>
      </c>
      <c r="C22" s="25" t="s">
        <v>22</v>
      </c>
      <c r="D22" s="27">
        <f>protokols!D22</f>
        <v>625</v>
      </c>
      <c r="E22" s="8">
        <f t="shared" si="0"/>
        <v>1265</v>
      </c>
      <c r="F22" s="8">
        <v>1150</v>
      </c>
      <c r="G22" s="24">
        <f t="shared" si="1"/>
        <v>115</v>
      </c>
      <c r="H22" s="18"/>
      <c r="I22" s="18">
        <f>230+299+25+61</f>
        <v>615</v>
      </c>
      <c r="J22" s="40">
        <f>protokols!N22</f>
        <v>1463</v>
      </c>
      <c r="K22" s="8">
        <v>1150</v>
      </c>
      <c r="L22" s="44">
        <f t="shared" si="2"/>
        <v>116.5</v>
      </c>
      <c r="M22" s="39">
        <f>protokols!L22</f>
        <v>1342.1</v>
      </c>
      <c r="N22" s="46">
        <f>protokols!M22</f>
        <v>121.4</v>
      </c>
      <c r="P22" s="24">
        <v>83</v>
      </c>
      <c r="Q22" s="24">
        <v>0.7</v>
      </c>
      <c r="R22" s="24">
        <f t="shared" si="3"/>
        <v>58.099999999999994</v>
      </c>
      <c r="S22" s="24">
        <v>0</v>
      </c>
      <c r="T22" s="24">
        <v>2</v>
      </c>
      <c r="U22" s="24">
        <f t="shared" si="4"/>
        <v>0</v>
      </c>
      <c r="V22" s="41">
        <v>47.877</v>
      </c>
      <c r="W22" s="24">
        <v>50</v>
      </c>
      <c r="X22" s="24">
        <f t="shared" si="5"/>
        <v>50</v>
      </c>
      <c r="Y22" s="24">
        <v>12</v>
      </c>
      <c r="Z22" s="24">
        <v>0.7</v>
      </c>
      <c r="AA22" s="24">
        <f t="shared" si="6"/>
        <v>8.399999999999999</v>
      </c>
      <c r="AB22" s="24">
        <v>0</v>
      </c>
      <c r="AC22" s="24">
        <v>70</v>
      </c>
      <c r="AD22" s="24">
        <f t="shared" si="7"/>
        <v>0</v>
      </c>
      <c r="AE22" s="46">
        <f t="shared" si="8"/>
        <v>116.5</v>
      </c>
      <c r="AF22" s="34" t="s">
        <v>22</v>
      </c>
      <c r="AI22" s="18"/>
      <c r="AJ22" s="18"/>
      <c r="AK22" s="18"/>
    </row>
    <row r="23" spans="1:37" ht="15.75">
      <c r="A23" s="2" t="s">
        <v>33</v>
      </c>
      <c r="B23" s="10" t="s">
        <v>21</v>
      </c>
      <c r="C23" s="25" t="s">
        <v>16</v>
      </c>
      <c r="D23" s="27">
        <f>protokols!D23</f>
        <v>305</v>
      </c>
      <c r="E23" s="8">
        <f t="shared" si="0"/>
        <v>1210</v>
      </c>
      <c r="F23" s="8">
        <v>1100</v>
      </c>
      <c r="G23" s="24">
        <f t="shared" si="1"/>
        <v>110</v>
      </c>
      <c r="H23" s="18"/>
      <c r="I23" s="18">
        <f>20+41+207+24+11+7+40+25</f>
        <v>375</v>
      </c>
      <c r="J23" s="40">
        <f>protokols!N23</f>
        <v>1416.8</v>
      </c>
      <c r="K23" s="8">
        <v>1100</v>
      </c>
      <c r="L23" s="44">
        <f t="shared" si="2"/>
        <v>129.5</v>
      </c>
      <c r="M23" s="39">
        <f>protokols!L23</f>
        <v>1300.6</v>
      </c>
      <c r="N23" s="46">
        <f>protokols!M23</f>
        <v>116.2</v>
      </c>
      <c r="P23" s="24">
        <f>72+12</f>
        <v>84</v>
      </c>
      <c r="Q23" s="24">
        <v>0.7</v>
      </c>
      <c r="R23" s="24">
        <f t="shared" si="3"/>
        <v>58.8</v>
      </c>
      <c r="S23" s="24">
        <f>12+6+10</f>
        <v>28</v>
      </c>
      <c r="T23" s="24">
        <v>2</v>
      </c>
      <c r="U23" s="24">
        <f t="shared" si="4"/>
        <v>56</v>
      </c>
      <c r="V23" s="41">
        <v>31.69</v>
      </c>
      <c r="W23" s="24">
        <v>0</v>
      </c>
      <c r="X23" s="24">
        <f t="shared" si="5"/>
        <v>0</v>
      </c>
      <c r="Y23" s="24">
        <v>21</v>
      </c>
      <c r="Z23" s="24">
        <v>0.7</v>
      </c>
      <c r="AA23" s="24">
        <f t="shared" si="6"/>
        <v>14.7</v>
      </c>
      <c r="AB23" s="24">
        <v>0</v>
      </c>
      <c r="AC23" s="24">
        <v>70</v>
      </c>
      <c r="AD23" s="24">
        <f t="shared" si="7"/>
        <v>0</v>
      </c>
      <c r="AE23" s="46">
        <f t="shared" si="8"/>
        <v>129.5</v>
      </c>
      <c r="AF23" s="34" t="s">
        <v>16</v>
      </c>
      <c r="AI23" s="18"/>
      <c r="AJ23" s="18"/>
      <c r="AK23" s="18"/>
    </row>
    <row r="24" spans="1:37" ht="15.75">
      <c r="A24" s="2" t="s">
        <v>34</v>
      </c>
      <c r="B24" s="10" t="s">
        <v>21</v>
      </c>
      <c r="C24" s="25" t="s">
        <v>6</v>
      </c>
      <c r="D24" s="27">
        <f>protokols!D24</f>
        <v>641</v>
      </c>
      <c r="E24" s="8">
        <f t="shared" si="0"/>
        <v>1265</v>
      </c>
      <c r="F24" s="8">
        <v>1150</v>
      </c>
      <c r="G24" s="24">
        <f t="shared" si="1"/>
        <v>115</v>
      </c>
      <c r="H24" s="18"/>
      <c r="I24" s="18">
        <f>216+335+92</f>
        <v>643</v>
      </c>
      <c r="J24" s="40">
        <f>protokols!N24</f>
        <v>1469.1000000000001</v>
      </c>
      <c r="K24" s="8">
        <v>1150</v>
      </c>
      <c r="L24" s="44">
        <f t="shared" si="2"/>
        <v>146.29999999999998</v>
      </c>
      <c r="M24" s="39">
        <f>protokols!L24</f>
        <v>1347.7</v>
      </c>
      <c r="N24" s="46">
        <f>protokols!M24</f>
        <v>121.4</v>
      </c>
      <c r="P24" s="24">
        <v>91</v>
      </c>
      <c r="Q24" s="24">
        <v>0.7</v>
      </c>
      <c r="R24" s="24">
        <f t="shared" si="3"/>
        <v>63.699999999999996</v>
      </c>
      <c r="S24" s="24">
        <v>0</v>
      </c>
      <c r="T24" s="24">
        <v>2</v>
      </c>
      <c r="U24" s="24">
        <f t="shared" si="4"/>
        <v>0</v>
      </c>
      <c r="V24" s="41">
        <v>59.284</v>
      </c>
      <c r="W24" s="24">
        <v>70</v>
      </c>
      <c r="X24" s="24">
        <f t="shared" si="5"/>
        <v>70</v>
      </c>
      <c r="Y24" s="24">
        <v>18</v>
      </c>
      <c r="Z24" s="24">
        <v>0.7</v>
      </c>
      <c r="AA24" s="24">
        <f t="shared" si="6"/>
        <v>12.6</v>
      </c>
      <c r="AB24" s="24">
        <v>0</v>
      </c>
      <c r="AC24" s="24">
        <v>70</v>
      </c>
      <c r="AD24" s="24">
        <f t="shared" si="7"/>
        <v>0</v>
      </c>
      <c r="AE24" s="46">
        <f t="shared" si="8"/>
        <v>146.29999999999998</v>
      </c>
      <c r="AF24" s="34" t="s">
        <v>6</v>
      </c>
      <c r="AI24" s="18"/>
      <c r="AJ24" s="18"/>
      <c r="AK24" s="18"/>
    </row>
    <row r="25" spans="1:37" ht="15.75">
      <c r="A25" s="2" t="s">
        <v>35</v>
      </c>
      <c r="B25" s="10" t="s">
        <v>21</v>
      </c>
      <c r="C25" s="25" t="s">
        <v>7</v>
      </c>
      <c r="D25" s="27">
        <f>protokols!D25</f>
        <v>601</v>
      </c>
      <c r="E25" s="8">
        <f t="shared" si="0"/>
        <v>1265</v>
      </c>
      <c r="F25" s="8">
        <v>1150</v>
      </c>
      <c r="G25" s="24">
        <f t="shared" si="1"/>
        <v>115</v>
      </c>
      <c r="H25" s="18"/>
      <c r="I25" s="18">
        <f>285+261+92+43</f>
        <v>681</v>
      </c>
      <c r="J25" s="40">
        <f>protokols!N25</f>
        <v>1449.1000000000001</v>
      </c>
      <c r="K25" s="8">
        <v>1150</v>
      </c>
      <c r="L25" s="44">
        <f t="shared" si="2"/>
        <v>117.89999999999999</v>
      </c>
      <c r="M25" s="39">
        <f>protokols!L25</f>
        <v>1327.7</v>
      </c>
      <c r="N25" s="46">
        <f>protokols!M25</f>
        <v>121.4</v>
      </c>
      <c r="P25" s="24">
        <v>86</v>
      </c>
      <c r="Q25" s="24">
        <v>0.7</v>
      </c>
      <c r="R25" s="24">
        <f t="shared" si="3"/>
        <v>60.199999999999996</v>
      </c>
      <c r="S25" s="24">
        <v>0</v>
      </c>
      <c r="T25" s="24">
        <v>2</v>
      </c>
      <c r="U25" s="24">
        <f t="shared" si="4"/>
        <v>0</v>
      </c>
      <c r="V25" s="41">
        <v>48.52</v>
      </c>
      <c r="W25" s="24">
        <v>50</v>
      </c>
      <c r="X25" s="24">
        <f t="shared" si="5"/>
        <v>50</v>
      </c>
      <c r="Y25" s="24">
        <v>11</v>
      </c>
      <c r="Z25" s="24">
        <v>0.7</v>
      </c>
      <c r="AA25" s="24">
        <f t="shared" si="6"/>
        <v>7.699999999999999</v>
      </c>
      <c r="AB25" s="24">
        <v>0</v>
      </c>
      <c r="AC25" s="24">
        <v>70</v>
      </c>
      <c r="AD25" s="24">
        <f t="shared" si="7"/>
        <v>0</v>
      </c>
      <c r="AE25" s="46">
        <f t="shared" si="8"/>
        <v>117.89999999999999</v>
      </c>
      <c r="AF25" s="34" t="s">
        <v>7</v>
      </c>
      <c r="AI25" s="18"/>
      <c r="AJ25" s="18"/>
      <c r="AK25" s="18"/>
    </row>
    <row r="26" spans="1:37" ht="15.75">
      <c r="A26" s="2" t="s">
        <v>36</v>
      </c>
      <c r="B26" s="10" t="s">
        <v>21</v>
      </c>
      <c r="C26" s="25" t="s">
        <v>8</v>
      </c>
      <c r="D26" s="27">
        <f>protokols!D26</f>
        <v>612</v>
      </c>
      <c r="E26" s="8">
        <f t="shared" si="0"/>
        <v>1265</v>
      </c>
      <c r="F26" s="8">
        <v>1150</v>
      </c>
      <c r="G26" s="24">
        <f t="shared" si="1"/>
        <v>115</v>
      </c>
      <c r="H26" s="18"/>
      <c r="I26" s="18">
        <f>410+1+8+44+105+1</f>
        <v>569</v>
      </c>
      <c r="J26" s="40">
        <f>protokols!N26</f>
        <v>1544</v>
      </c>
      <c r="K26" s="8">
        <v>1150</v>
      </c>
      <c r="L26" s="44">
        <f t="shared" si="2"/>
        <v>221.8</v>
      </c>
      <c r="M26" s="39">
        <f>protokols!L26</f>
        <v>1423.1</v>
      </c>
      <c r="N26" s="46">
        <f>protokols!M26</f>
        <v>121.4</v>
      </c>
      <c r="P26" s="24">
        <v>85</v>
      </c>
      <c r="Q26" s="24">
        <v>0.7</v>
      </c>
      <c r="R26" s="24">
        <f t="shared" si="3"/>
        <v>59.49999999999999</v>
      </c>
      <c r="S26" s="24">
        <f>1+7</f>
        <v>8</v>
      </c>
      <c r="T26" s="24">
        <v>2</v>
      </c>
      <c r="U26" s="24">
        <f t="shared" si="4"/>
        <v>16</v>
      </c>
      <c r="V26" s="41">
        <v>54</v>
      </c>
      <c r="W26" s="24">
        <v>70</v>
      </c>
      <c r="X26" s="24">
        <f t="shared" si="5"/>
        <v>70</v>
      </c>
      <c r="Y26" s="24">
        <v>9</v>
      </c>
      <c r="Z26" s="24">
        <v>0.7</v>
      </c>
      <c r="AA26" s="24">
        <f t="shared" si="6"/>
        <v>6.3</v>
      </c>
      <c r="AB26" s="24">
        <v>1</v>
      </c>
      <c r="AC26" s="24">
        <v>70</v>
      </c>
      <c r="AD26" s="24">
        <f t="shared" si="7"/>
        <v>70</v>
      </c>
      <c r="AE26" s="46">
        <f t="shared" si="8"/>
        <v>221.8</v>
      </c>
      <c r="AF26" s="34" t="s">
        <v>8</v>
      </c>
      <c r="AI26" s="18"/>
      <c r="AJ26" s="18"/>
      <c r="AK26" s="18"/>
    </row>
    <row r="27" spans="1:37" ht="15.75">
      <c r="A27" s="2" t="s">
        <v>37</v>
      </c>
      <c r="B27" s="10" t="s">
        <v>21</v>
      </c>
      <c r="C27" s="25" t="s">
        <v>9</v>
      </c>
      <c r="D27" s="27">
        <f>protokols!D27</f>
        <v>814</v>
      </c>
      <c r="E27" s="8">
        <f t="shared" si="0"/>
        <v>1320</v>
      </c>
      <c r="F27" s="8">
        <v>1200</v>
      </c>
      <c r="G27" s="24">
        <f t="shared" si="1"/>
        <v>120</v>
      </c>
      <c r="H27" s="18"/>
      <c r="I27" s="18">
        <f>198+464+71+46</f>
        <v>779</v>
      </c>
      <c r="J27" s="40">
        <f>protokols!N27</f>
        <v>1592.1000000000001</v>
      </c>
      <c r="K27" s="8">
        <v>1200</v>
      </c>
      <c r="L27" s="44">
        <f t="shared" si="2"/>
        <v>196.3</v>
      </c>
      <c r="M27" s="39">
        <f>protokols!L27</f>
        <v>1465.4</v>
      </c>
      <c r="N27" s="46">
        <f>protokols!M27</f>
        <v>126.7</v>
      </c>
      <c r="P27" s="24">
        <v>95</v>
      </c>
      <c r="Q27" s="24">
        <v>0.7</v>
      </c>
      <c r="R27" s="24">
        <f t="shared" si="3"/>
        <v>66.5</v>
      </c>
      <c r="S27" s="24">
        <v>0</v>
      </c>
      <c r="T27" s="24">
        <v>2</v>
      </c>
      <c r="U27" s="24">
        <f t="shared" si="4"/>
        <v>0</v>
      </c>
      <c r="V27" s="41">
        <v>49.695</v>
      </c>
      <c r="W27" s="24">
        <v>50</v>
      </c>
      <c r="X27" s="24">
        <f t="shared" si="5"/>
        <v>50</v>
      </c>
      <c r="Y27" s="24">
        <v>14</v>
      </c>
      <c r="Z27" s="24">
        <v>0.7</v>
      </c>
      <c r="AA27" s="24">
        <f t="shared" si="6"/>
        <v>9.799999999999999</v>
      </c>
      <c r="AB27" s="24">
        <v>1</v>
      </c>
      <c r="AC27" s="24">
        <v>70</v>
      </c>
      <c r="AD27" s="24">
        <f t="shared" si="7"/>
        <v>70</v>
      </c>
      <c r="AE27" s="46">
        <f t="shared" si="8"/>
        <v>196.3</v>
      </c>
      <c r="AF27" s="34" t="s">
        <v>9</v>
      </c>
      <c r="AI27" s="18"/>
      <c r="AJ27" s="18"/>
      <c r="AK27" s="18"/>
    </row>
    <row r="28" spans="1:37" ht="15.75">
      <c r="A28" s="2" t="s">
        <v>38</v>
      </c>
      <c r="B28" s="10" t="s">
        <v>21</v>
      </c>
      <c r="C28" s="25" t="s">
        <v>10</v>
      </c>
      <c r="D28" s="27">
        <f>protokols!D28</f>
        <v>583</v>
      </c>
      <c r="E28" s="8">
        <f t="shared" si="0"/>
        <v>1265</v>
      </c>
      <c r="F28" s="8">
        <v>1150</v>
      </c>
      <c r="G28" s="24">
        <f t="shared" si="1"/>
        <v>115</v>
      </c>
      <c r="H28" s="18"/>
      <c r="I28" s="18">
        <f>564+80</f>
        <v>644</v>
      </c>
      <c r="J28" s="40">
        <f>protokols!N28</f>
        <v>1464.9</v>
      </c>
      <c r="K28" s="8">
        <v>1150</v>
      </c>
      <c r="L28" s="44">
        <f t="shared" si="2"/>
        <v>142.1</v>
      </c>
      <c r="M28" s="39">
        <f>protokols!L28</f>
        <v>1343.5</v>
      </c>
      <c r="N28" s="46">
        <f>protokols!M28</f>
        <v>121.4</v>
      </c>
      <c r="P28" s="24">
        <v>87</v>
      </c>
      <c r="Q28" s="24">
        <v>0.7</v>
      </c>
      <c r="R28" s="24">
        <f t="shared" si="3"/>
        <v>60.9</v>
      </c>
      <c r="S28" s="24">
        <v>0</v>
      </c>
      <c r="T28" s="24">
        <v>2</v>
      </c>
      <c r="U28" s="24">
        <f t="shared" si="4"/>
        <v>0</v>
      </c>
      <c r="V28" s="41">
        <v>55.974</v>
      </c>
      <c r="W28" s="24">
        <v>70</v>
      </c>
      <c r="X28" s="24">
        <f t="shared" si="5"/>
        <v>70</v>
      </c>
      <c r="Y28" s="24">
        <v>16</v>
      </c>
      <c r="Z28" s="24">
        <v>0.7</v>
      </c>
      <c r="AA28" s="24">
        <f t="shared" si="6"/>
        <v>11.2</v>
      </c>
      <c r="AB28" s="24">
        <v>0</v>
      </c>
      <c r="AC28" s="24">
        <v>70</v>
      </c>
      <c r="AD28" s="24">
        <f t="shared" si="7"/>
        <v>0</v>
      </c>
      <c r="AE28" s="46">
        <f t="shared" si="8"/>
        <v>142.1</v>
      </c>
      <c r="AF28" s="34" t="s">
        <v>10</v>
      </c>
      <c r="AI28" s="18"/>
      <c r="AJ28" s="18"/>
      <c r="AK28" s="18"/>
    </row>
    <row r="29" spans="1:37" ht="15.75">
      <c r="A29" s="2" t="s">
        <v>39</v>
      </c>
      <c r="B29" s="10" t="s">
        <v>21</v>
      </c>
      <c r="C29" s="25" t="s">
        <v>11</v>
      </c>
      <c r="D29" s="27">
        <f>protokols!D29</f>
        <v>693</v>
      </c>
      <c r="E29" s="8">
        <f t="shared" si="0"/>
        <v>1265</v>
      </c>
      <c r="F29" s="8">
        <v>1150</v>
      </c>
      <c r="G29" s="24">
        <f t="shared" si="1"/>
        <v>115</v>
      </c>
      <c r="H29" s="18"/>
      <c r="I29" s="18">
        <f>80+504+16+35+56</f>
        <v>691</v>
      </c>
      <c r="J29" s="40">
        <f>protokols!N29</f>
        <v>1569</v>
      </c>
      <c r="K29" s="8">
        <v>1150</v>
      </c>
      <c r="L29" s="44">
        <f t="shared" si="2"/>
        <v>192.1</v>
      </c>
      <c r="M29" s="39">
        <f>protokols!L29</f>
        <v>1448.3</v>
      </c>
      <c r="N29" s="46">
        <f>protokols!M29</f>
        <v>121.4</v>
      </c>
      <c r="P29" s="24">
        <v>118</v>
      </c>
      <c r="Q29" s="24">
        <v>0.7</v>
      </c>
      <c r="R29" s="24">
        <f t="shared" si="3"/>
        <v>82.6</v>
      </c>
      <c r="S29" s="24">
        <v>18</v>
      </c>
      <c r="T29" s="24">
        <v>2</v>
      </c>
      <c r="U29" s="24">
        <f t="shared" si="4"/>
        <v>36</v>
      </c>
      <c r="V29" s="41">
        <v>36.541</v>
      </c>
      <c r="W29" s="24">
        <v>0</v>
      </c>
      <c r="X29" s="24">
        <f t="shared" si="5"/>
        <v>0</v>
      </c>
      <c r="Y29" s="24">
        <v>5</v>
      </c>
      <c r="Z29" s="24">
        <v>0.7</v>
      </c>
      <c r="AA29" s="24">
        <f t="shared" si="6"/>
        <v>3.5</v>
      </c>
      <c r="AB29" s="24">
        <v>1</v>
      </c>
      <c r="AC29" s="24">
        <v>70</v>
      </c>
      <c r="AD29" s="24">
        <f t="shared" si="7"/>
        <v>70</v>
      </c>
      <c r="AE29" s="46">
        <f t="shared" si="8"/>
        <v>192.1</v>
      </c>
      <c r="AF29" s="34" t="s">
        <v>11</v>
      </c>
      <c r="AI29" s="18"/>
      <c r="AJ29" s="18"/>
      <c r="AK29" s="18"/>
    </row>
    <row r="30" spans="1:37" ht="15.75">
      <c r="A30" s="2" t="s">
        <v>40</v>
      </c>
      <c r="B30" s="10" t="s">
        <v>21</v>
      </c>
      <c r="C30" s="25" t="s">
        <v>12</v>
      </c>
      <c r="D30" s="27">
        <f>protokols!D30</f>
        <v>676</v>
      </c>
      <c r="E30" s="8">
        <f t="shared" si="0"/>
        <v>1320</v>
      </c>
      <c r="F30" s="8">
        <v>1200</v>
      </c>
      <c r="G30" s="24">
        <f t="shared" si="1"/>
        <v>120</v>
      </c>
      <c r="H30" s="18"/>
      <c r="I30" s="18">
        <f>198+10+35+95+69+269</f>
        <v>676</v>
      </c>
      <c r="J30" s="40">
        <f>protokols!N30</f>
        <v>1451</v>
      </c>
      <c r="K30" s="8">
        <v>1200</v>
      </c>
      <c r="L30" s="44">
        <f t="shared" si="2"/>
        <v>118.3</v>
      </c>
      <c r="M30" s="39">
        <f>protokols!L30</f>
        <v>1323.7</v>
      </c>
      <c r="N30" s="46">
        <f>protokols!M30</f>
        <v>126.7</v>
      </c>
      <c r="P30" s="24">
        <v>69</v>
      </c>
      <c r="Q30" s="24">
        <v>0.7</v>
      </c>
      <c r="R30" s="24">
        <f t="shared" si="3"/>
        <v>48.3</v>
      </c>
      <c r="S30" s="24">
        <v>0</v>
      </c>
      <c r="T30" s="24">
        <v>2</v>
      </c>
      <c r="U30" s="24">
        <f t="shared" si="4"/>
        <v>0</v>
      </c>
      <c r="V30" s="41">
        <v>37.261</v>
      </c>
      <c r="W30" s="24">
        <v>0</v>
      </c>
      <c r="X30" s="24">
        <f t="shared" si="5"/>
        <v>0</v>
      </c>
      <c r="Y30" s="24">
        <v>0</v>
      </c>
      <c r="Z30" s="24">
        <v>0.7</v>
      </c>
      <c r="AA30" s="24">
        <f t="shared" si="6"/>
        <v>0</v>
      </c>
      <c r="AB30" s="24">
        <v>1</v>
      </c>
      <c r="AC30" s="24">
        <v>70</v>
      </c>
      <c r="AD30" s="24">
        <f t="shared" si="7"/>
        <v>70</v>
      </c>
      <c r="AE30" s="46">
        <f t="shared" si="8"/>
        <v>118.3</v>
      </c>
      <c r="AF30" s="34" t="s">
        <v>12</v>
      </c>
      <c r="AI30" s="18"/>
      <c r="AJ30" s="18"/>
      <c r="AK30" s="18"/>
    </row>
    <row r="31" spans="1:37" ht="15.75">
      <c r="A31" s="2" t="s">
        <v>41</v>
      </c>
      <c r="B31" s="10" t="s">
        <v>21</v>
      </c>
      <c r="C31" s="25" t="s">
        <v>17</v>
      </c>
      <c r="D31" s="27">
        <f>protokols!D31</f>
        <v>398</v>
      </c>
      <c r="E31" s="8">
        <f t="shared" si="0"/>
        <v>1210</v>
      </c>
      <c r="F31" s="8">
        <v>1100</v>
      </c>
      <c r="G31" s="24">
        <f t="shared" si="1"/>
        <v>110</v>
      </c>
      <c r="H31" s="18"/>
      <c r="I31" s="18">
        <f>269+17+65</f>
        <v>351</v>
      </c>
      <c r="J31" s="40">
        <f>protokols!N31</f>
        <v>1458.2</v>
      </c>
      <c r="K31" s="8">
        <v>1100</v>
      </c>
      <c r="L31" s="44">
        <f t="shared" si="2"/>
        <v>207.29999999999998</v>
      </c>
      <c r="M31" s="39">
        <f>protokols!L31</f>
        <v>1342</v>
      </c>
      <c r="N31" s="46">
        <f>protokols!M31</f>
        <v>116.2</v>
      </c>
      <c r="P31" s="24">
        <v>78</v>
      </c>
      <c r="Q31" s="24">
        <v>0.7</v>
      </c>
      <c r="R31" s="24">
        <f t="shared" si="3"/>
        <v>54.599999999999994</v>
      </c>
      <c r="S31" s="24">
        <v>16</v>
      </c>
      <c r="T31" s="24">
        <v>2</v>
      </c>
      <c r="U31" s="24">
        <f t="shared" si="4"/>
        <v>32</v>
      </c>
      <c r="V31" s="41">
        <v>48.181</v>
      </c>
      <c r="W31" s="24">
        <v>50</v>
      </c>
      <c r="X31" s="24">
        <f t="shared" si="5"/>
        <v>50</v>
      </c>
      <c r="Y31" s="24">
        <v>1</v>
      </c>
      <c r="Z31" s="24">
        <v>0.7</v>
      </c>
      <c r="AA31" s="24">
        <f t="shared" si="6"/>
        <v>0.7</v>
      </c>
      <c r="AB31" s="24">
        <v>1</v>
      </c>
      <c r="AC31" s="24">
        <v>70</v>
      </c>
      <c r="AD31" s="24">
        <f t="shared" si="7"/>
        <v>70</v>
      </c>
      <c r="AE31" s="46">
        <f t="shared" si="8"/>
        <v>207.29999999999998</v>
      </c>
      <c r="AF31" s="34" t="s">
        <v>17</v>
      </c>
      <c r="AI31" s="18"/>
      <c r="AJ31" s="18"/>
      <c r="AK31" s="18"/>
    </row>
    <row r="32" spans="1:37" ht="15.75">
      <c r="A32" s="2" t="s">
        <v>42</v>
      </c>
      <c r="B32" s="10" t="s">
        <v>21</v>
      </c>
      <c r="C32" s="25" t="s">
        <v>13</v>
      </c>
      <c r="D32" s="27">
        <f>protokols!D32</f>
        <v>231</v>
      </c>
      <c r="E32" s="8">
        <f t="shared" si="0"/>
        <v>1155</v>
      </c>
      <c r="F32" s="8">
        <v>1050</v>
      </c>
      <c r="G32" s="24">
        <f t="shared" si="1"/>
        <v>105</v>
      </c>
      <c r="H32" s="18"/>
      <c r="I32" s="18">
        <f>177+3+3+33+10+18</f>
        <v>244</v>
      </c>
      <c r="J32" s="40">
        <f>protokols!N32</f>
        <v>1364.1000000000001</v>
      </c>
      <c r="K32" s="8">
        <v>1050</v>
      </c>
      <c r="L32" s="44">
        <f t="shared" si="2"/>
        <v>189.5</v>
      </c>
      <c r="M32" s="39">
        <f>protokols!L32</f>
        <v>1253.2</v>
      </c>
      <c r="N32" s="46">
        <f>protokols!M32</f>
        <v>110.9</v>
      </c>
      <c r="P32" s="24">
        <v>53</v>
      </c>
      <c r="Q32" s="24">
        <v>0.7</v>
      </c>
      <c r="R32" s="24">
        <f t="shared" si="3"/>
        <v>37.099999999999994</v>
      </c>
      <c r="S32" s="24">
        <f>3+1+34+9</f>
        <v>47</v>
      </c>
      <c r="T32" s="24">
        <v>2</v>
      </c>
      <c r="U32" s="24">
        <f t="shared" si="4"/>
        <v>94</v>
      </c>
      <c r="V32" s="41">
        <v>43.94</v>
      </c>
      <c r="W32" s="24">
        <v>50</v>
      </c>
      <c r="X32" s="24">
        <f t="shared" si="5"/>
        <v>50</v>
      </c>
      <c r="Y32" s="24">
        <v>12</v>
      </c>
      <c r="Z32" s="24">
        <v>0.7</v>
      </c>
      <c r="AA32" s="24">
        <f t="shared" si="6"/>
        <v>8.399999999999999</v>
      </c>
      <c r="AB32" s="24">
        <v>0</v>
      </c>
      <c r="AC32" s="24">
        <v>70</v>
      </c>
      <c r="AD32" s="24">
        <f t="shared" si="7"/>
        <v>0</v>
      </c>
      <c r="AE32" s="46">
        <f t="shared" si="8"/>
        <v>189.5</v>
      </c>
      <c r="AF32" s="34" t="s">
        <v>13</v>
      </c>
      <c r="AI32" s="18"/>
      <c r="AJ32" s="18"/>
      <c r="AK32" s="18"/>
    </row>
    <row r="33" spans="1:37" ht="15.75">
      <c r="A33" s="2" t="s">
        <v>43</v>
      </c>
      <c r="B33" s="10" t="s">
        <v>21</v>
      </c>
      <c r="C33" s="25" t="s">
        <v>14</v>
      </c>
      <c r="D33" s="27">
        <f>protokols!D33</f>
        <v>508</v>
      </c>
      <c r="E33" s="8">
        <f t="shared" si="0"/>
        <v>1265</v>
      </c>
      <c r="F33" s="8">
        <v>1150</v>
      </c>
      <c r="G33" s="24">
        <f t="shared" si="1"/>
        <v>115</v>
      </c>
      <c r="H33" s="18"/>
      <c r="I33" s="18">
        <f>225+251+26</f>
        <v>502</v>
      </c>
      <c r="J33" s="40">
        <f>protokols!N33</f>
        <v>1482</v>
      </c>
      <c r="K33" s="8">
        <v>1150</v>
      </c>
      <c r="L33" s="44">
        <f t="shared" si="2"/>
        <v>213.2</v>
      </c>
      <c r="M33" s="39">
        <f>protokols!L33</f>
        <v>1361.4</v>
      </c>
      <c r="N33" s="46">
        <f>protokols!M33</f>
        <v>121.4</v>
      </c>
      <c r="P33" s="24">
        <v>71</v>
      </c>
      <c r="Q33" s="24">
        <v>0.7</v>
      </c>
      <c r="R33" s="24">
        <f t="shared" si="3"/>
        <v>49.699999999999996</v>
      </c>
      <c r="S33" s="24">
        <v>0</v>
      </c>
      <c r="T33" s="24">
        <v>2</v>
      </c>
      <c r="U33" s="24">
        <f t="shared" si="4"/>
        <v>0</v>
      </c>
      <c r="V33" s="41">
        <v>66.66</v>
      </c>
      <c r="W33" s="24">
        <v>90</v>
      </c>
      <c r="X33" s="24">
        <f t="shared" si="5"/>
        <v>90</v>
      </c>
      <c r="Y33" s="24">
        <v>5</v>
      </c>
      <c r="Z33" s="24">
        <v>0.7</v>
      </c>
      <c r="AA33" s="24">
        <f t="shared" si="6"/>
        <v>3.5</v>
      </c>
      <c r="AB33" s="24">
        <v>1</v>
      </c>
      <c r="AC33" s="24">
        <v>70</v>
      </c>
      <c r="AD33" s="24">
        <f t="shared" si="7"/>
        <v>70</v>
      </c>
      <c r="AE33" s="46">
        <f t="shared" si="8"/>
        <v>213.2</v>
      </c>
      <c r="AF33" s="34" t="s">
        <v>14</v>
      </c>
      <c r="AI33" s="18"/>
      <c r="AJ33" s="18"/>
      <c r="AK33" s="18"/>
    </row>
    <row r="34" spans="1:37" ht="15.75">
      <c r="A34" s="2" t="s">
        <v>44</v>
      </c>
      <c r="B34" s="10" t="s">
        <v>21</v>
      </c>
      <c r="C34" s="25" t="s">
        <v>15</v>
      </c>
      <c r="D34" s="27">
        <f>protokols!D34</f>
        <v>486</v>
      </c>
      <c r="E34" s="8">
        <f t="shared" si="0"/>
        <v>1210</v>
      </c>
      <c r="F34" s="8">
        <v>1100</v>
      </c>
      <c r="G34" s="24">
        <f t="shared" si="1"/>
        <v>110</v>
      </c>
      <c r="H34" s="18"/>
      <c r="I34" s="18">
        <f>113+324+12</f>
        <v>449</v>
      </c>
      <c r="J34" s="40">
        <f>protokols!N34</f>
        <v>1408</v>
      </c>
      <c r="K34" s="8">
        <v>1100</v>
      </c>
      <c r="L34" s="44">
        <f t="shared" si="2"/>
        <v>129.8</v>
      </c>
      <c r="M34" s="39">
        <f>protokols!L34</f>
        <v>1292.4</v>
      </c>
      <c r="N34" s="46">
        <f>protokols!M34</f>
        <v>116.2</v>
      </c>
      <c r="P34" s="24">
        <v>69</v>
      </c>
      <c r="Q34" s="24">
        <v>0.7</v>
      </c>
      <c r="R34" s="24">
        <f t="shared" si="3"/>
        <v>48.3</v>
      </c>
      <c r="S34" s="24">
        <f>9+5</f>
        <v>14</v>
      </c>
      <c r="T34" s="24">
        <v>2</v>
      </c>
      <c r="U34" s="24">
        <f t="shared" si="4"/>
        <v>28</v>
      </c>
      <c r="V34" s="41">
        <v>47.57</v>
      </c>
      <c r="W34" s="24">
        <v>50</v>
      </c>
      <c r="X34" s="24">
        <f t="shared" si="5"/>
        <v>50</v>
      </c>
      <c r="Y34" s="24">
        <v>5</v>
      </c>
      <c r="Z34" s="24">
        <v>0.7</v>
      </c>
      <c r="AA34" s="24">
        <f t="shared" si="6"/>
        <v>3.5</v>
      </c>
      <c r="AB34" s="24">
        <v>0</v>
      </c>
      <c r="AC34" s="24">
        <v>70</v>
      </c>
      <c r="AD34" s="24">
        <f t="shared" si="7"/>
        <v>0</v>
      </c>
      <c r="AE34" s="46">
        <f t="shared" si="8"/>
        <v>129.8</v>
      </c>
      <c r="AF34" s="34" t="s">
        <v>15</v>
      </c>
      <c r="AI34" s="18"/>
      <c r="AJ34" s="18"/>
      <c r="AK34" s="18"/>
    </row>
    <row r="35" spans="1:37" ht="15.75">
      <c r="A35" s="2" t="s">
        <v>45</v>
      </c>
      <c r="B35" s="10" t="s">
        <v>21</v>
      </c>
      <c r="C35" s="25" t="s">
        <v>23</v>
      </c>
      <c r="D35" s="27">
        <f>protokols!D35</f>
        <v>59</v>
      </c>
      <c r="E35" s="8">
        <f t="shared" si="0"/>
        <v>950</v>
      </c>
      <c r="F35" s="8">
        <v>950</v>
      </c>
      <c r="G35" s="24">
        <f>F35*0%</f>
        <v>0</v>
      </c>
      <c r="H35" s="18"/>
      <c r="I35" s="18">
        <f>3+21+5+21+4+4+8+4</f>
        <v>70</v>
      </c>
      <c r="J35" s="40">
        <f>protokols!N35</f>
        <v>1026.1</v>
      </c>
      <c r="K35" s="8">
        <v>950</v>
      </c>
      <c r="L35" s="44">
        <f t="shared" si="2"/>
        <v>21</v>
      </c>
      <c r="M35" s="39">
        <f>protokols!L35</f>
        <v>1026.1</v>
      </c>
      <c r="N35" s="46">
        <f>protokols!M35</f>
        <v>0</v>
      </c>
      <c r="P35" s="24">
        <v>30</v>
      </c>
      <c r="Q35" s="24">
        <v>0.7</v>
      </c>
      <c r="R35" s="24">
        <f t="shared" si="3"/>
        <v>21</v>
      </c>
      <c r="S35" s="24">
        <v>0</v>
      </c>
      <c r="T35" s="24">
        <v>2</v>
      </c>
      <c r="U35" s="24">
        <f t="shared" si="4"/>
        <v>0</v>
      </c>
      <c r="V35" s="41">
        <v>0</v>
      </c>
      <c r="W35" s="24">
        <v>0</v>
      </c>
      <c r="X35" s="24">
        <f t="shared" si="5"/>
        <v>0</v>
      </c>
      <c r="Y35" s="24">
        <v>0</v>
      </c>
      <c r="Z35" s="24">
        <v>0.7</v>
      </c>
      <c r="AA35" s="24">
        <f t="shared" si="6"/>
        <v>0</v>
      </c>
      <c r="AB35" s="24">
        <v>0</v>
      </c>
      <c r="AC35" s="24">
        <v>70</v>
      </c>
      <c r="AD35" s="24">
        <f t="shared" si="7"/>
        <v>0</v>
      </c>
      <c r="AE35" s="46">
        <f t="shared" si="8"/>
        <v>21</v>
      </c>
      <c r="AF35" s="34" t="s">
        <v>23</v>
      </c>
      <c r="AI35" s="18"/>
      <c r="AJ35" s="18"/>
      <c r="AK35" s="18"/>
    </row>
    <row r="36" spans="1:37" ht="15.75">
      <c r="A36" s="2" t="s">
        <v>46</v>
      </c>
      <c r="B36" s="10" t="s">
        <v>21</v>
      </c>
      <c r="C36" s="25" t="s">
        <v>56</v>
      </c>
      <c r="D36" s="27">
        <f>protokols!D36</f>
        <v>271</v>
      </c>
      <c r="E36" s="8">
        <f t="shared" si="0"/>
        <v>1050</v>
      </c>
      <c r="F36" s="8">
        <v>1050</v>
      </c>
      <c r="G36" s="24">
        <f>F36*0%</f>
        <v>0</v>
      </c>
      <c r="H36" s="18"/>
      <c r="I36" s="18">
        <f>19+76+125+2+1+1+6</f>
        <v>230</v>
      </c>
      <c r="J36" s="40">
        <f>protokols!N36</f>
        <v>1257.7</v>
      </c>
      <c r="K36" s="8">
        <v>1050</v>
      </c>
      <c r="L36" s="44">
        <f t="shared" si="2"/>
        <v>150.1</v>
      </c>
      <c r="M36" s="39">
        <f>protokols!L36</f>
        <v>1257.7</v>
      </c>
      <c r="N36" s="46">
        <f>protokols!M36</f>
        <v>0</v>
      </c>
      <c r="P36" s="24">
        <f>130</f>
        <v>130</v>
      </c>
      <c r="Q36" s="24">
        <v>0.7</v>
      </c>
      <c r="R36" s="24">
        <f t="shared" si="3"/>
        <v>91</v>
      </c>
      <c r="S36" s="24">
        <v>0</v>
      </c>
      <c r="T36" s="24">
        <v>2</v>
      </c>
      <c r="U36" s="24">
        <f t="shared" si="4"/>
        <v>0</v>
      </c>
      <c r="V36" s="41">
        <v>45.19</v>
      </c>
      <c r="W36" s="24">
        <v>50</v>
      </c>
      <c r="X36" s="24">
        <f t="shared" si="5"/>
        <v>50</v>
      </c>
      <c r="Y36" s="24">
        <v>13</v>
      </c>
      <c r="Z36" s="24">
        <v>0.7</v>
      </c>
      <c r="AA36" s="24">
        <f t="shared" si="6"/>
        <v>9.1</v>
      </c>
      <c r="AB36" s="24">
        <v>0</v>
      </c>
      <c r="AC36" s="24">
        <v>70</v>
      </c>
      <c r="AD36" s="24">
        <f t="shared" si="7"/>
        <v>0</v>
      </c>
      <c r="AE36" s="46">
        <f t="shared" si="8"/>
        <v>150.1</v>
      </c>
      <c r="AF36" s="34" t="s">
        <v>56</v>
      </c>
      <c r="AI36" s="18"/>
      <c r="AJ36" s="18"/>
      <c r="AK36" s="18"/>
    </row>
    <row r="37" spans="1:37" ht="32.25" thickBot="1">
      <c r="A37" s="2" t="s">
        <v>47</v>
      </c>
      <c r="B37" s="10" t="s">
        <v>21</v>
      </c>
      <c r="C37" s="26" t="s">
        <v>53</v>
      </c>
      <c r="D37" s="77">
        <f>protokols!D37</f>
        <v>487</v>
      </c>
      <c r="E37" s="32">
        <f t="shared" si="0"/>
        <v>1210</v>
      </c>
      <c r="F37" s="32">
        <v>1100</v>
      </c>
      <c r="G37" s="33">
        <f t="shared" si="1"/>
        <v>110</v>
      </c>
      <c r="H37" s="78"/>
      <c r="I37" s="79"/>
      <c r="J37" s="95">
        <f>protokols!N37</f>
        <v>1366.2</v>
      </c>
      <c r="K37" s="32">
        <v>1100</v>
      </c>
      <c r="L37" s="73">
        <f t="shared" si="2"/>
        <v>150.3</v>
      </c>
      <c r="M37" s="80">
        <f>protokols!L37</f>
        <v>1250</v>
      </c>
      <c r="N37" s="81">
        <f>protokols!M37</f>
        <v>116.2</v>
      </c>
      <c r="P37" s="35">
        <v>76</v>
      </c>
      <c r="Q37" s="37">
        <v>0.7</v>
      </c>
      <c r="R37" s="35">
        <f t="shared" si="3"/>
        <v>53.199999999999996</v>
      </c>
      <c r="S37" s="35">
        <v>0</v>
      </c>
      <c r="T37" s="37">
        <v>2</v>
      </c>
      <c r="U37" s="35">
        <f t="shared" si="4"/>
        <v>0</v>
      </c>
      <c r="V37" s="35">
        <v>28.433</v>
      </c>
      <c r="W37" s="35">
        <v>0</v>
      </c>
      <c r="X37" s="35">
        <f t="shared" si="5"/>
        <v>0</v>
      </c>
      <c r="Y37" s="35">
        <v>3</v>
      </c>
      <c r="Z37" s="69">
        <v>0.7</v>
      </c>
      <c r="AA37" s="69">
        <f t="shared" si="6"/>
        <v>2.0999999999999996</v>
      </c>
      <c r="AB37" s="36">
        <v>1</v>
      </c>
      <c r="AC37" s="69">
        <v>95</v>
      </c>
      <c r="AD37" s="69">
        <f t="shared" si="7"/>
        <v>95</v>
      </c>
      <c r="AE37" s="70">
        <f t="shared" si="8"/>
        <v>150.3</v>
      </c>
      <c r="AF37" s="38" t="s">
        <v>79</v>
      </c>
      <c r="AI37" s="18"/>
      <c r="AJ37" s="18"/>
      <c r="AK37" s="18"/>
    </row>
    <row r="38" spans="1:37" ht="16.5" thickBot="1">
      <c r="A38" s="11" t="s">
        <v>48</v>
      </c>
      <c r="B38" s="3" t="s">
        <v>2</v>
      </c>
      <c r="C38" s="50" t="s">
        <v>20</v>
      </c>
      <c r="D38" s="82" t="str">
        <f>protokols!D38</f>
        <v>2600*</v>
      </c>
      <c r="E38" s="83">
        <v>1430</v>
      </c>
      <c r="F38" s="84">
        <v>0</v>
      </c>
      <c r="G38" s="85">
        <v>1430</v>
      </c>
      <c r="H38" s="86"/>
      <c r="I38" s="87"/>
      <c r="J38" s="96">
        <f>protokols!N38</f>
        <v>1510</v>
      </c>
      <c r="K38" s="84">
        <v>0</v>
      </c>
      <c r="L38" s="88">
        <v>0</v>
      </c>
      <c r="M38" s="89">
        <f>protokols!L38</f>
        <v>0</v>
      </c>
      <c r="N38" s="72">
        <f>protokols!M38</f>
        <v>1510</v>
      </c>
      <c r="P38" s="17"/>
      <c r="Q38" s="17"/>
      <c r="R38" s="17"/>
      <c r="S38" s="17"/>
      <c r="T38" s="17"/>
      <c r="U38" s="17"/>
      <c r="V38" s="12"/>
      <c r="W38" s="12"/>
      <c r="X38" s="12"/>
      <c r="Y38" s="12"/>
      <c r="Z38" s="12"/>
      <c r="AA38" s="12"/>
      <c r="AB38" s="17"/>
      <c r="AC38" s="17"/>
      <c r="AD38" s="17"/>
      <c r="AE38" s="17"/>
      <c r="AF38" s="17"/>
      <c r="AI38" s="18"/>
      <c r="AJ38" s="18"/>
      <c r="AK38" s="18"/>
    </row>
    <row r="39" spans="3:32" ht="15" customHeight="1">
      <c r="C39" s="12" t="s">
        <v>95</v>
      </c>
      <c r="V39" s="12" t="s">
        <v>80</v>
      </c>
      <c r="AF39" s="12"/>
    </row>
    <row r="40" spans="1:31" ht="15" customHeight="1">
      <c r="A40" s="12"/>
      <c r="B40" s="4"/>
      <c r="E40" s="19"/>
      <c r="J40" s="19"/>
      <c r="P40" s="12"/>
      <c r="Q40" s="12"/>
      <c r="R40" s="12"/>
      <c r="S40" s="12"/>
      <c r="T40" s="12"/>
      <c r="U40" s="12"/>
      <c r="V40" s="12" t="s">
        <v>81</v>
      </c>
      <c r="Y40" s="12"/>
      <c r="Z40" s="12"/>
      <c r="AA40" s="12"/>
      <c r="AB40" s="12"/>
      <c r="AC40" s="12"/>
      <c r="AD40" s="12"/>
      <c r="AE40" s="12"/>
    </row>
    <row r="41" spans="1:31" ht="15" customHeight="1">
      <c r="A41" s="12"/>
      <c r="B41" s="4"/>
      <c r="F41" s="16"/>
      <c r="G41" s="17"/>
      <c r="K41" s="16"/>
      <c r="L41" s="16"/>
      <c r="M41" s="16"/>
      <c r="N41" s="17"/>
      <c r="P41" s="12"/>
      <c r="Q41" s="12"/>
      <c r="R41" s="12"/>
      <c r="S41" s="12"/>
      <c r="T41" s="12"/>
      <c r="U41" s="12"/>
      <c r="V41" s="12"/>
      <c r="Y41" s="12"/>
      <c r="Z41" s="12"/>
      <c r="AA41" s="12"/>
      <c r="AB41" s="12"/>
      <c r="AC41" s="12"/>
      <c r="AD41" s="12"/>
      <c r="AE41" s="12"/>
    </row>
    <row r="42" spans="1:31" ht="15" customHeight="1">
      <c r="A42" s="120" t="s">
        <v>105</v>
      </c>
      <c r="B42" s="120"/>
      <c r="C42" s="120"/>
      <c r="D42" s="23" t="s">
        <v>94</v>
      </c>
      <c r="F42" s="16"/>
      <c r="G42" s="17"/>
      <c r="K42" s="16"/>
      <c r="L42" s="16"/>
      <c r="M42" s="16"/>
      <c r="N42" s="17"/>
      <c r="P42" s="12"/>
      <c r="Q42" s="12"/>
      <c r="R42" s="12"/>
      <c r="S42" s="12"/>
      <c r="T42" s="12"/>
      <c r="U42" s="12"/>
      <c r="V42" s="12"/>
      <c r="Y42" s="12"/>
      <c r="Z42" s="12"/>
      <c r="AA42" s="12"/>
      <c r="AB42" s="12"/>
      <c r="AC42" s="12"/>
      <c r="AD42" s="12"/>
      <c r="AE42" s="12"/>
    </row>
    <row r="43" spans="2:20" s="1" customFormat="1" ht="13.5" customHeight="1">
      <c r="B43" s="9"/>
      <c r="E43" s="22"/>
      <c r="J43" s="22"/>
      <c r="L43" s="45"/>
      <c r="P43" s="12"/>
      <c r="Q43" s="12"/>
      <c r="R43" s="12"/>
      <c r="S43" s="12"/>
      <c r="T43" s="12"/>
    </row>
    <row r="44" spans="16:24" ht="15">
      <c r="P44" s="17"/>
      <c r="Q44" s="17"/>
      <c r="R44" s="17"/>
      <c r="S44" s="17"/>
      <c r="T44" s="17"/>
      <c r="V44" s="12" t="s">
        <v>86</v>
      </c>
      <c r="W44" s="12" t="s">
        <v>66</v>
      </c>
      <c r="X44" s="12" t="s">
        <v>65</v>
      </c>
    </row>
    <row r="45" spans="16:24" ht="15">
      <c r="P45" s="17"/>
      <c r="Q45" s="17"/>
      <c r="R45" s="17"/>
      <c r="S45" s="17"/>
      <c r="T45" s="17"/>
      <c r="W45" s="12" t="s">
        <v>67</v>
      </c>
      <c r="X45" s="12" t="s">
        <v>70</v>
      </c>
    </row>
    <row r="46" spans="16:24" ht="15">
      <c r="P46" s="17"/>
      <c r="Q46" s="17"/>
      <c r="R46" s="17"/>
      <c r="S46" s="17"/>
      <c r="T46" s="17"/>
      <c r="W46" s="12" t="s">
        <v>68</v>
      </c>
      <c r="X46" s="12" t="s">
        <v>88</v>
      </c>
    </row>
    <row r="47" spans="23:24" ht="15">
      <c r="W47" s="12" t="s">
        <v>69</v>
      </c>
      <c r="X47" s="12" t="s">
        <v>89</v>
      </c>
    </row>
  </sheetData>
  <sheetProtection/>
  <mergeCells count="34">
    <mergeCell ref="AB13:AB18"/>
    <mergeCell ref="AC13:AC18"/>
    <mergeCell ref="AD13:AD18"/>
    <mergeCell ref="AE13:AE18"/>
    <mergeCell ref="AF13:AF18"/>
    <mergeCell ref="A42:C42"/>
    <mergeCell ref="V13:V18"/>
    <mergeCell ref="W13:W18"/>
    <mergeCell ref="X13:X18"/>
    <mergeCell ref="Y13:Y18"/>
    <mergeCell ref="Z13:Z18"/>
    <mergeCell ref="AA13:AA18"/>
    <mergeCell ref="P13:P18"/>
    <mergeCell ref="Q13:Q18"/>
    <mergeCell ref="R13:R18"/>
    <mergeCell ref="S13:S18"/>
    <mergeCell ref="T13:T18"/>
    <mergeCell ref="U13:U18"/>
    <mergeCell ref="G13:G18"/>
    <mergeCell ref="J13:J18"/>
    <mergeCell ref="K13:K18"/>
    <mergeCell ref="L13:L18"/>
    <mergeCell ref="M13:M18"/>
    <mergeCell ref="N13:N18"/>
    <mergeCell ref="A9:N9"/>
    <mergeCell ref="A10:N10"/>
    <mergeCell ref="A11:N11"/>
    <mergeCell ref="P12:AE12"/>
    <mergeCell ref="A13:A18"/>
    <mergeCell ref="B13:B18"/>
    <mergeCell ref="C13:C18"/>
    <mergeCell ref="D13:D18"/>
    <mergeCell ref="E13:E18"/>
    <mergeCell ref="F13:F18"/>
  </mergeCells>
  <printOptions/>
  <pageMargins left="0.5118110236220472" right="0.5118110236220472" top="1.4960629921259843" bottom="0.5118110236220472" header="0.3149606299212598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Zina</dc:creator>
  <cp:keywords/>
  <dc:description/>
  <cp:lastModifiedBy>Ina Skipare</cp:lastModifiedBy>
  <cp:lastPrinted>2019-09-20T09:30:29Z</cp:lastPrinted>
  <dcterms:created xsi:type="dcterms:W3CDTF">2009-09-17T08:30:06Z</dcterms:created>
  <dcterms:modified xsi:type="dcterms:W3CDTF">2019-10-02T07:54:47Z</dcterms:modified>
  <cp:category/>
  <cp:version/>
  <cp:contentType/>
  <cp:contentStatus/>
</cp:coreProperties>
</file>