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tabRatio="790" activeTab="0"/>
  </bookViews>
  <sheets>
    <sheet name="pii" sheetId="1" r:id="rId1"/>
    <sheet name="Sheet1" sheetId="2" r:id="rId2"/>
  </sheets>
  <definedNames>
    <definedName name="_xlnm.Print_Titles" localSheetId="0">'pii'!$10:$10</definedName>
  </definedNames>
  <calcPr fullCalcOnLoad="1"/>
</workbook>
</file>

<file path=xl/sharedStrings.xml><?xml version="1.0" encoding="utf-8"?>
<sst xmlns="http://schemas.openxmlformats.org/spreadsheetml/2006/main" count="66" uniqueCount="60">
  <si>
    <t>Atalgojums</t>
  </si>
  <si>
    <t>Darba devēja valsts sociālās apdrošināšanas obligātās iemaksas</t>
  </si>
  <si>
    <t>kopā</t>
  </si>
  <si>
    <t>Daugavpils pilsētas 1.pirmsskolas izglītības iestāde</t>
  </si>
  <si>
    <t>Daugavpils pilsētas 5.pirmsskolas izglītības iestāde</t>
  </si>
  <si>
    <t>Izglītības iestāde</t>
  </si>
  <si>
    <t>Daugavpils pilsētas 3.pirmsskolas izglītības iestāde</t>
  </si>
  <si>
    <t>Daugavpils pilsētas 7.pirmsskolas izglītības iestāde</t>
  </si>
  <si>
    <t>Daugavpils pilsētas 8.pirmsskolas izglītības iestāde</t>
  </si>
  <si>
    <t>Daugavpils pilsētas 10.pirmsskolas izglītības iestāde</t>
  </si>
  <si>
    <t>Daugavpils pilsētas 11.pirmsskolas izglītības iestāde</t>
  </si>
  <si>
    <t>Daugavpils pilsētas 12.pirmsskolas izglītības iestāde</t>
  </si>
  <si>
    <t>Daugavpils pilsētas 13.pirmsskolas izglītības iestāde</t>
  </si>
  <si>
    <t>Daugavpils pilsētas 14.pirmsskolas izglītības iestāde</t>
  </si>
  <si>
    <t>Daugavpils pilsētas 17.pirmsskolas izglītības iestāde</t>
  </si>
  <si>
    <t>Daugavpils pilsētas 18.pirmsskolas izglītības iestāde</t>
  </si>
  <si>
    <t>Daugavpils pilsētas 20.pirmsskolas izglītības iestāde</t>
  </si>
  <si>
    <t>Daugavpils pilsētas 21.pirmsskolas izglītības iestāde</t>
  </si>
  <si>
    <t>Daugavpils pilsētas 22.pirmsskolas izglītības iestāde</t>
  </si>
  <si>
    <t>Daugavpils pilsētas 23.pirmsskolas izglītības iestāde</t>
  </si>
  <si>
    <t>Daugavpils pilsētas 24.pirmsskolas izglītības iestāde</t>
  </si>
  <si>
    <t>Daugavpils pilsētas 26.pirmsskolas izglītības iestāde</t>
  </si>
  <si>
    <t>Daugavpils pilsētas 27.pirmsskolas izglītības iestāde</t>
  </si>
  <si>
    <t>Daugavpils pilsētas 28.pirmsskolas izglītības iestāde</t>
  </si>
  <si>
    <t>Daugavpils pilsētas 29.poļu pirmsskolas izglītības iestāde</t>
  </si>
  <si>
    <t>Daugavpils pilsētas 30.pirmsskolas izglītības iestāde</t>
  </si>
  <si>
    <t>Daugavpils pilsētas 32.pirmsskolas izglītības iestāde</t>
  </si>
  <si>
    <t>Daugavpils pilsētas Ruģeļu pirmsskolas izglītības iestāde</t>
  </si>
  <si>
    <t>dienas grupās</t>
  </si>
  <si>
    <t>grupās ar diennakts darba rezīmu</t>
  </si>
  <si>
    <t>papildus izmaksas grupās ar diennakts darba režīmu</t>
  </si>
  <si>
    <t>grupās ar diennakts darba režīmu</t>
  </si>
  <si>
    <t>pavisam</t>
  </si>
  <si>
    <t>(paraksts)</t>
  </si>
  <si>
    <t>1.pielikums</t>
  </si>
  <si>
    <t>bibliotēku krājumi</t>
  </si>
  <si>
    <t>KK</t>
  </si>
  <si>
    <t>Izmaksas kopā (EUR)</t>
  </si>
  <si>
    <t>grupās ar dien-nakts darba režīmu</t>
  </si>
  <si>
    <t xml:space="preserve">dienas grupās  (izņemot EKK 1148;1170) </t>
  </si>
  <si>
    <t>Koman-dējumi un dienesta braucieni (izņemot EKK 2120)</t>
  </si>
  <si>
    <t xml:space="preserve">dienas grupās  </t>
  </si>
  <si>
    <t>6 54 07 420</t>
  </si>
  <si>
    <t>Krājumi, materiāli, energore-sursi,  biroja preces un inventārs, kurus neuzskaita kodā 5000 (izņemot EKK 2322; 2363; 2390)</t>
  </si>
  <si>
    <t>Daugavpils pilsētas 4. speciālā pirmsskolas izglītības iestāde</t>
  </si>
  <si>
    <t>Daugavpils pilsētas 9. speciālā pirmsskolas izglītības iestāde</t>
  </si>
  <si>
    <t>Daugavpils pilsētas 15. speciālā pirmsskolas izglītības iestāde</t>
  </si>
  <si>
    <t>O. Girvica</t>
  </si>
  <si>
    <t>Daugavpils pilsētas domes</t>
  </si>
  <si>
    <t>Izglītojamo skaits</t>
  </si>
  <si>
    <t>Izmaksas mēnesī par vienu izglītojamo (EUR)</t>
  </si>
  <si>
    <t>Izmaksas budžeta gadā par vienu izglītojamo (EUR)</t>
  </si>
  <si>
    <t>Daugavpils 6.vidusskola pirmsskolas programmas</t>
  </si>
  <si>
    <t>Pakalpojumi (izņemot EKK 2262; 2270)</t>
  </si>
  <si>
    <t>Daugavpils pilsētas pirmsskolas izglītības iestāžu izglītojamo izmaksas 2019.gadā (dienas grupās un grupās ar diennakts darba režīmu)</t>
  </si>
  <si>
    <t>2019.gada</t>
  </si>
  <si>
    <t xml:space="preserve">lēmumam </t>
  </si>
  <si>
    <t>Nr.605</t>
  </si>
  <si>
    <t xml:space="preserve">10.oktobra  </t>
  </si>
  <si>
    <r>
      <t>Domes priekšsēdētājs  ___</t>
    </r>
    <r>
      <rPr>
        <i/>
        <sz val="12"/>
        <rFont val="Times New Roman"/>
        <family val="1"/>
      </rPr>
      <t>_(personiskais paraksts</t>
    </r>
    <r>
      <rPr>
        <sz val="12"/>
        <rFont val="Times New Roman"/>
        <family val="1"/>
      </rPr>
      <t>)_________________________ A. Elksniņš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</si>
</sst>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.0"/>
    <numFmt numFmtId="187" formatCode="[$-426]dddd\,\ yyyy&quot;. gada &quot;d\.\ mmmm"/>
    <numFmt numFmtId="188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85" zoomScaleNormal="85" zoomScalePageLayoutView="0" workbookViewId="0" topLeftCell="A4">
      <pane ySplit="300" topLeftCell="A37" activePane="bottomLeft" state="split"/>
      <selection pane="topLeft" activeCell="A4" sqref="A4"/>
      <selection pane="bottomLeft" activeCell="A43" sqref="A43:J43"/>
    </sheetView>
  </sheetViews>
  <sheetFormatPr defaultColWidth="8.7109375" defaultRowHeight="12.75"/>
  <cols>
    <col min="1" max="1" width="19.8515625" style="1" customWidth="1"/>
    <col min="2" max="2" width="6.00390625" style="1" customWidth="1"/>
    <col min="3" max="3" width="5.8515625" style="1" bestFit="1" customWidth="1"/>
    <col min="4" max="4" width="7.421875" style="1" customWidth="1"/>
    <col min="5" max="5" width="9.28125" style="1" customWidth="1"/>
    <col min="6" max="6" width="7.00390625" style="1" customWidth="1"/>
    <col min="7" max="7" width="9.140625" style="1" customWidth="1"/>
    <col min="8" max="8" width="7.7109375" style="1" customWidth="1"/>
    <col min="9" max="9" width="8.421875" style="1" customWidth="1"/>
    <col min="10" max="10" width="10.8515625" style="1" customWidth="1"/>
    <col min="11" max="11" width="9.421875" style="1" customWidth="1"/>
    <col min="12" max="12" width="9.8515625" style="1" customWidth="1"/>
    <col min="13" max="13" width="10.7109375" style="1" customWidth="1"/>
    <col min="14" max="14" width="10.140625" style="1" customWidth="1"/>
    <col min="15" max="15" width="9.8515625" style="1" customWidth="1"/>
    <col min="16" max="16" width="8.8515625" style="1" customWidth="1"/>
    <col min="17" max="17" width="6.8515625" style="1" customWidth="1"/>
    <col min="18" max="18" width="9.140625" style="1" customWidth="1"/>
    <col min="19" max="19" width="8.8515625" style="1" customWidth="1"/>
    <col min="20" max="20" width="7.8515625" style="1" customWidth="1"/>
    <col min="21" max="16384" width="8.7109375" style="1" customWidth="1"/>
  </cols>
  <sheetData>
    <row r="1" spans="15:20" ht="12.75">
      <c r="O1" s="6"/>
      <c r="P1" s="6"/>
      <c r="Q1" s="6"/>
      <c r="R1" s="35" t="s">
        <v>34</v>
      </c>
      <c r="S1" s="35"/>
      <c r="T1" s="35"/>
    </row>
    <row r="2" spans="15:20" ht="12.75">
      <c r="O2" s="6"/>
      <c r="P2" s="6"/>
      <c r="Q2" s="6"/>
      <c r="R2" s="35" t="s">
        <v>48</v>
      </c>
      <c r="S2" s="35"/>
      <c r="T2" s="35"/>
    </row>
    <row r="3" spans="15:20" ht="12.75">
      <c r="O3" s="12"/>
      <c r="P3" s="12"/>
      <c r="Q3" s="12"/>
      <c r="R3" s="12" t="s">
        <v>55</v>
      </c>
      <c r="S3" s="12" t="s">
        <v>58</v>
      </c>
      <c r="T3" s="34"/>
    </row>
    <row r="4" spans="15:20" ht="12.75">
      <c r="O4" s="6"/>
      <c r="P4" s="6"/>
      <c r="Q4" s="6"/>
      <c r="R4" s="33" t="s">
        <v>56</v>
      </c>
      <c r="S4" s="33" t="s">
        <v>57</v>
      </c>
      <c r="T4" s="6"/>
    </row>
    <row r="5" spans="1:20" ht="18.75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2" customFormat="1" ht="51" customHeight="1">
      <c r="A6" s="43" t="s">
        <v>5</v>
      </c>
      <c r="B6" s="37" t="s">
        <v>49</v>
      </c>
      <c r="C6" s="37"/>
      <c r="D6" s="37"/>
      <c r="E6" s="37" t="s">
        <v>50</v>
      </c>
      <c r="F6" s="37"/>
      <c r="G6" s="37" t="s">
        <v>51</v>
      </c>
      <c r="H6" s="37"/>
      <c r="I6" s="37"/>
      <c r="J6" s="37" t="s">
        <v>37</v>
      </c>
      <c r="K6" s="37"/>
      <c r="L6" s="37"/>
      <c r="M6" s="37" t="s">
        <v>0</v>
      </c>
      <c r="N6" s="37"/>
      <c r="O6" s="37" t="s">
        <v>1</v>
      </c>
      <c r="P6" s="37"/>
      <c r="Q6" s="41" t="s">
        <v>40</v>
      </c>
      <c r="R6" s="41" t="s">
        <v>53</v>
      </c>
      <c r="S6" s="41" t="s">
        <v>43</v>
      </c>
      <c r="T6" s="39" t="s">
        <v>35</v>
      </c>
    </row>
    <row r="7" spans="1:20" s="2" customFormat="1" ht="93.75" customHeight="1">
      <c r="A7" s="44"/>
      <c r="B7" s="36" t="s">
        <v>2</v>
      </c>
      <c r="C7" s="36" t="s">
        <v>28</v>
      </c>
      <c r="D7" s="36" t="s">
        <v>29</v>
      </c>
      <c r="E7" s="36" t="s">
        <v>28</v>
      </c>
      <c r="F7" s="36" t="s">
        <v>38</v>
      </c>
      <c r="G7" s="36" t="s">
        <v>28</v>
      </c>
      <c r="H7" s="36" t="s">
        <v>30</v>
      </c>
      <c r="I7" s="36" t="s">
        <v>31</v>
      </c>
      <c r="J7" s="36" t="s">
        <v>28</v>
      </c>
      <c r="K7" s="36" t="s">
        <v>30</v>
      </c>
      <c r="L7" s="36" t="s">
        <v>32</v>
      </c>
      <c r="M7" s="25" t="s">
        <v>39</v>
      </c>
      <c r="N7" s="25" t="s">
        <v>30</v>
      </c>
      <c r="O7" s="25" t="s">
        <v>41</v>
      </c>
      <c r="P7" s="25" t="s">
        <v>30</v>
      </c>
      <c r="Q7" s="42"/>
      <c r="R7" s="42"/>
      <c r="S7" s="36"/>
      <c r="T7" s="40"/>
    </row>
    <row r="8" spans="1:20" s="2" customFormat="1" ht="22.5" customHeight="1">
      <c r="A8" s="4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36</v>
      </c>
      <c r="N8" s="36"/>
      <c r="O8" s="36"/>
      <c r="P8" s="36"/>
      <c r="Q8" s="36"/>
      <c r="R8" s="36"/>
      <c r="S8" s="36"/>
      <c r="T8" s="26"/>
    </row>
    <row r="9" spans="1:20" s="2" customFormat="1" ht="26.25" customHeight="1">
      <c r="A9" s="4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>
        <v>1100</v>
      </c>
      <c r="N9" s="36"/>
      <c r="O9" s="36">
        <v>1200</v>
      </c>
      <c r="P9" s="36"/>
      <c r="Q9" s="27">
        <v>2100</v>
      </c>
      <c r="R9" s="27">
        <v>2200</v>
      </c>
      <c r="S9" s="27">
        <v>2300</v>
      </c>
      <c r="T9" s="26">
        <v>5233</v>
      </c>
    </row>
    <row r="10" spans="1:20" s="5" customFormat="1" ht="12">
      <c r="A10" s="28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6">
        <v>20</v>
      </c>
    </row>
    <row r="11" spans="1:20" s="2" customFormat="1" ht="38.25">
      <c r="A11" s="20" t="s">
        <v>3</v>
      </c>
      <c r="B11" s="13">
        <v>260</v>
      </c>
      <c r="C11" s="13">
        <f aca="true" t="shared" si="0" ref="C11:C38">B11-D11</f>
        <v>260</v>
      </c>
      <c r="D11" s="13"/>
      <c r="E11" s="14">
        <f>ROUND(G11/12,2)</f>
        <v>156.91</v>
      </c>
      <c r="F11" s="13"/>
      <c r="G11" s="14">
        <f>ROUND(J11/B11,2)</f>
        <v>1882.93</v>
      </c>
      <c r="H11" s="13"/>
      <c r="I11" s="13"/>
      <c r="J11" s="14">
        <f>M11+O11+Q11+R11+S11+T11</f>
        <v>489563.01</v>
      </c>
      <c r="K11" s="13"/>
      <c r="L11" s="14">
        <f>SUM(J11:K11)</f>
        <v>489563.01</v>
      </c>
      <c r="M11" s="14">
        <f>342093.81-14817.7+6400.95</f>
        <v>333677.06</v>
      </c>
      <c r="N11" s="13"/>
      <c r="O11" s="13">
        <f>92531.33-3569.58+1555.65</f>
        <v>90517.4</v>
      </c>
      <c r="P11" s="13"/>
      <c r="Q11" s="14">
        <v>0</v>
      </c>
      <c r="R11" s="14">
        <v>48325.65</v>
      </c>
      <c r="S11" s="14">
        <v>17042.9</v>
      </c>
      <c r="T11" s="21">
        <v>0</v>
      </c>
    </row>
    <row r="12" spans="1:20" s="2" customFormat="1" ht="38.25">
      <c r="A12" s="20" t="s">
        <v>6</v>
      </c>
      <c r="B12" s="13">
        <v>238</v>
      </c>
      <c r="C12" s="13">
        <f t="shared" si="0"/>
        <v>238</v>
      </c>
      <c r="D12" s="13"/>
      <c r="E12" s="13">
        <f aca="true" t="shared" si="1" ref="E12:E38">ROUND(G12/12,2)</f>
        <v>171.33</v>
      </c>
      <c r="F12" s="13"/>
      <c r="G12" s="14">
        <f aca="true" t="shared" si="2" ref="G12:G39">ROUND(J12/B12,2)</f>
        <v>2055.97</v>
      </c>
      <c r="H12" s="13"/>
      <c r="I12" s="13"/>
      <c r="J12" s="14">
        <f aca="true" t="shared" si="3" ref="J12:J25">M12+O12+Q12+R12+S12+T12</f>
        <v>489321.6099999999</v>
      </c>
      <c r="K12" s="13"/>
      <c r="L12" s="16">
        <f aca="true" t="shared" si="4" ref="L12:L38">SUM(J12:K12)</f>
        <v>489321.6099999999</v>
      </c>
      <c r="M12" s="14">
        <f>332318.74-15174.15+13454.17</f>
        <v>330598.75999999995</v>
      </c>
      <c r="N12" s="13"/>
      <c r="O12" s="13">
        <f>94803.86-3655.45+3368.41</f>
        <v>94516.82</v>
      </c>
      <c r="P12" s="13"/>
      <c r="Q12" s="16">
        <v>379.04</v>
      </c>
      <c r="R12" s="16">
        <v>42896.51</v>
      </c>
      <c r="S12" s="13">
        <f>20968.99-14.51-24</f>
        <v>20930.480000000003</v>
      </c>
      <c r="T12" s="22">
        <v>0</v>
      </c>
    </row>
    <row r="13" spans="1:20" s="2" customFormat="1" ht="38.25">
      <c r="A13" s="20" t="s">
        <v>44</v>
      </c>
      <c r="B13" s="13">
        <v>97</v>
      </c>
      <c r="C13" s="13">
        <f t="shared" si="0"/>
        <v>82</v>
      </c>
      <c r="D13" s="13">
        <v>15</v>
      </c>
      <c r="E13" s="13">
        <f t="shared" si="1"/>
        <v>177.37</v>
      </c>
      <c r="F13" s="13">
        <f>ROUND(I13/12,2)</f>
        <v>255.84</v>
      </c>
      <c r="G13" s="14">
        <f t="shared" si="2"/>
        <v>2128.44</v>
      </c>
      <c r="H13" s="13">
        <f>ROUND(K13/D13,2)</f>
        <v>941.67</v>
      </c>
      <c r="I13" s="13">
        <f>SUM(G13:H13)</f>
        <v>3070.11</v>
      </c>
      <c r="J13" s="14">
        <f t="shared" si="3"/>
        <v>206458.42</v>
      </c>
      <c r="K13" s="16">
        <f>N13+P13</f>
        <v>14125.05</v>
      </c>
      <c r="L13" s="16">
        <f t="shared" si="4"/>
        <v>220583.47</v>
      </c>
      <c r="M13" s="14">
        <f>149462.64-7231.87-N13</f>
        <v>130847.87000000002</v>
      </c>
      <c r="N13" s="16">
        <f>11952.9-570</f>
        <v>11382.9</v>
      </c>
      <c r="O13" s="16">
        <f>41138.68-1742.16-P13</f>
        <v>36654.369999999995</v>
      </c>
      <c r="P13" s="16">
        <f>2879.46-137.31</f>
        <v>2742.15</v>
      </c>
      <c r="Q13" s="16">
        <v>20.8</v>
      </c>
      <c r="R13" s="13">
        <v>32781.81</v>
      </c>
      <c r="S13" s="13">
        <f>32282.55-26128.98</f>
        <v>6153.57</v>
      </c>
      <c r="T13" s="22">
        <v>0</v>
      </c>
    </row>
    <row r="14" spans="1:20" s="2" customFormat="1" ht="38.25">
      <c r="A14" s="20" t="s">
        <v>4</v>
      </c>
      <c r="B14" s="13">
        <v>241</v>
      </c>
      <c r="C14" s="13">
        <f t="shared" si="0"/>
        <v>241</v>
      </c>
      <c r="D14" s="13"/>
      <c r="E14" s="13">
        <f t="shared" si="1"/>
        <v>183.13</v>
      </c>
      <c r="F14" s="13"/>
      <c r="G14" s="14">
        <f t="shared" si="2"/>
        <v>2197.58</v>
      </c>
      <c r="H14" s="13"/>
      <c r="I14" s="13"/>
      <c r="J14" s="14">
        <f t="shared" si="3"/>
        <v>529615.96</v>
      </c>
      <c r="K14" s="13"/>
      <c r="L14" s="16">
        <f t="shared" si="4"/>
        <v>529615.96</v>
      </c>
      <c r="M14" s="14">
        <f>351528.61-14695.48+11383.41</f>
        <v>348216.54</v>
      </c>
      <c r="N14" s="13"/>
      <c r="O14" s="13">
        <f>98019.65-3540.14+3053.16</f>
        <v>97532.67</v>
      </c>
      <c r="P14" s="13"/>
      <c r="Q14" s="13">
        <v>472.04</v>
      </c>
      <c r="R14" s="13">
        <v>52049.93</v>
      </c>
      <c r="S14" s="13">
        <f>31366.27-21.49</f>
        <v>31344.78</v>
      </c>
      <c r="T14" s="22">
        <v>0</v>
      </c>
    </row>
    <row r="15" spans="1:20" s="2" customFormat="1" ht="44.25" customHeight="1">
      <c r="A15" s="20" t="s">
        <v>52</v>
      </c>
      <c r="B15" s="13">
        <v>57</v>
      </c>
      <c r="C15" s="13">
        <f t="shared" si="0"/>
        <v>57</v>
      </c>
      <c r="D15" s="13"/>
      <c r="E15" s="13">
        <f t="shared" si="1"/>
        <v>136.54</v>
      </c>
      <c r="F15" s="13"/>
      <c r="G15" s="14">
        <f t="shared" si="2"/>
        <v>1638.46</v>
      </c>
      <c r="H15" s="13"/>
      <c r="I15" s="13"/>
      <c r="J15" s="14">
        <f t="shared" si="3"/>
        <v>93392.07199999999</v>
      </c>
      <c r="K15" s="13"/>
      <c r="L15" s="16">
        <f t="shared" si="4"/>
        <v>93392.07199999999</v>
      </c>
      <c r="M15" s="14">
        <f>69077.92-3369.778+3827.23</f>
        <v>69535.37199999999</v>
      </c>
      <c r="N15" s="13"/>
      <c r="O15" s="13">
        <f>19079.56-811.78+897.23</f>
        <v>19165.010000000002</v>
      </c>
      <c r="P15" s="13"/>
      <c r="Q15" s="16">
        <v>0</v>
      </c>
      <c r="R15" s="13">
        <v>869.14</v>
      </c>
      <c r="S15" s="13">
        <v>3822.55</v>
      </c>
      <c r="T15" s="22">
        <v>0</v>
      </c>
    </row>
    <row r="16" spans="1:20" s="2" customFormat="1" ht="38.25">
      <c r="A16" s="20" t="s">
        <v>7</v>
      </c>
      <c r="B16" s="13">
        <v>259</v>
      </c>
      <c r="C16" s="13">
        <f t="shared" si="0"/>
        <v>259</v>
      </c>
      <c r="D16" s="13"/>
      <c r="E16" s="13">
        <f t="shared" si="1"/>
        <v>160.57</v>
      </c>
      <c r="F16" s="13"/>
      <c r="G16" s="14">
        <f t="shared" si="2"/>
        <v>1926.81</v>
      </c>
      <c r="H16" s="13"/>
      <c r="I16" s="13"/>
      <c r="J16" s="14">
        <f t="shared" si="3"/>
        <v>499044.89</v>
      </c>
      <c r="K16" s="13"/>
      <c r="L16" s="16">
        <f t="shared" si="4"/>
        <v>499044.89</v>
      </c>
      <c r="M16" s="14">
        <f>333327.64-14678.11+10174.74</f>
        <v>328824.27</v>
      </c>
      <c r="N16" s="13"/>
      <c r="O16" s="13">
        <f>91301.62-3535.96+2658.2</f>
        <v>90423.85999999999</v>
      </c>
      <c r="P16" s="13"/>
      <c r="Q16" s="13">
        <v>396.84</v>
      </c>
      <c r="R16" s="13">
        <v>58030.19</v>
      </c>
      <c r="S16" s="13">
        <v>21369.73</v>
      </c>
      <c r="T16" s="22">
        <v>0</v>
      </c>
    </row>
    <row r="17" spans="1:20" s="10" customFormat="1" ht="38.25">
      <c r="A17" s="20" t="s">
        <v>8</v>
      </c>
      <c r="B17" s="13">
        <v>79</v>
      </c>
      <c r="C17" s="13">
        <f t="shared" si="0"/>
        <v>79</v>
      </c>
      <c r="D17" s="13"/>
      <c r="E17" s="13">
        <f t="shared" si="1"/>
        <v>261.44</v>
      </c>
      <c r="F17" s="13"/>
      <c r="G17" s="14">
        <f t="shared" si="2"/>
        <v>3137.31</v>
      </c>
      <c r="H17" s="13"/>
      <c r="I17" s="13"/>
      <c r="J17" s="14">
        <f t="shared" si="3"/>
        <v>247847.85000000003</v>
      </c>
      <c r="K17" s="13"/>
      <c r="L17" s="16">
        <f t="shared" si="4"/>
        <v>247847.85000000003</v>
      </c>
      <c r="M17" s="14">
        <f>177325.25-7059.86+748.51</f>
        <v>171013.90000000002</v>
      </c>
      <c r="N17" s="13"/>
      <c r="O17" s="14">
        <f>47131.67-1700.72+182.58</f>
        <v>45613.53</v>
      </c>
      <c r="P17" s="13"/>
      <c r="Q17" s="16">
        <v>270.72</v>
      </c>
      <c r="R17" s="14">
        <v>16819.06</v>
      </c>
      <c r="S17" s="14">
        <v>14130.64</v>
      </c>
      <c r="T17" s="21">
        <v>0</v>
      </c>
    </row>
    <row r="18" spans="1:20" s="10" customFormat="1" ht="38.25">
      <c r="A18" s="20" t="s">
        <v>45</v>
      </c>
      <c r="B18" s="13">
        <v>58</v>
      </c>
      <c r="C18" s="13">
        <f t="shared" si="0"/>
        <v>58</v>
      </c>
      <c r="D18" s="13"/>
      <c r="E18" s="13">
        <f t="shared" si="1"/>
        <v>265.68</v>
      </c>
      <c r="F18" s="13"/>
      <c r="G18" s="14">
        <f t="shared" si="2"/>
        <v>3188.21</v>
      </c>
      <c r="H18" s="13"/>
      <c r="I18" s="13"/>
      <c r="J18" s="14">
        <f t="shared" si="3"/>
        <v>184915.98</v>
      </c>
      <c r="K18" s="16"/>
      <c r="L18" s="16">
        <f t="shared" si="4"/>
        <v>184915.98</v>
      </c>
      <c r="M18" s="14">
        <f>130596.99-6233.85-N18</f>
        <v>124363.14</v>
      </c>
      <c r="N18" s="16"/>
      <c r="O18" s="14">
        <f>38248.85-1501.73-P18</f>
        <v>36747.119999999995</v>
      </c>
      <c r="P18" s="16"/>
      <c r="Q18" s="16">
        <v>51.04</v>
      </c>
      <c r="R18" s="14">
        <v>17547.19</v>
      </c>
      <c r="S18" s="14">
        <f>20806.15-14598.66</f>
        <v>6207.490000000002</v>
      </c>
      <c r="T18" s="21">
        <v>0</v>
      </c>
    </row>
    <row r="19" spans="1:20" s="2" customFormat="1" ht="38.25">
      <c r="A19" s="20" t="s">
        <v>9</v>
      </c>
      <c r="B19" s="13">
        <v>123</v>
      </c>
      <c r="C19" s="13">
        <f t="shared" si="0"/>
        <v>123</v>
      </c>
      <c r="D19" s="13"/>
      <c r="E19" s="13">
        <f t="shared" si="1"/>
        <v>193.75</v>
      </c>
      <c r="F19" s="13"/>
      <c r="G19" s="14">
        <f t="shared" si="2"/>
        <v>2325.01</v>
      </c>
      <c r="H19" s="13"/>
      <c r="I19" s="13"/>
      <c r="J19" s="14">
        <f t="shared" si="3"/>
        <v>285976.68999999994</v>
      </c>
      <c r="K19" s="13"/>
      <c r="L19" s="16">
        <f t="shared" si="4"/>
        <v>285976.68999999994</v>
      </c>
      <c r="M19" s="14">
        <f>206219.99-8550.89+2481.75</f>
        <v>200150.84999999998</v>
      </c>
      <c r="N19" s="13"/>
      <c r="O19" s="14">
        <f>55637.89-2059.91+759.21</f>
        <v>54337.189999999995</v>
      </c>
      <c r="P19" s="13"/>
      <c r="Q19" s="16">
        <v>270.72</v>
      </c>
      <c r="R19" s="14">
        <v>20306.88</v>
      </c>
      <c r="S19" s="14">
        <v>10911.05</v>
      </c>
      <c r="T19" s="21">
        <v>0</v>
      </c>
    </row>
    <row r="20" spans="1:20" s="2" customFormat="1" ht="38.25">
      <c r="A20" s="20" t="s">
        <v>10</v>
      </c>
      <c r="B20" s="13">
        <v>101</v>
      </c>
      <c r="C20" s="13">
        <f t="shared" si="0"/>
        <v>101</v>
      </c>
      <c r="D20" s="13"/>
      <c r="E20" s="13">
        <f t="shared" si="1"/>
        <v>238.86</v>
      </c>
      <c r="F20" s="13"/>
      <c r="G20" s="14">
        <f t="shared" si="2"/>
        <v>2866.34</v>
      </c>
      <c r="H20" s="13"/>
      <c r="I20" s="13"/>
      <c r="J20" s="14">
        <f t="shared" si="3"/>
        <v>289500.31</v>
      </c>
      <c r="K20" s="13"/>
      <c r="L20" s="16">
        <f t="shared" si="4"/>
        <v>289500.31</v>
      </c>
      <c r="M20" s="14">
        <f>191744.46-7663.49+1008.12</f>
        <v>185089.09</v>
      </c>
      <c r="N20" s="13"/>
      <c r="O20" s="14">
        <f>50630.44-1846.13+244</f>
        <v>49028.310000000005</v>
      </c>
      <c r="P20" s="13"/>
      <c r="Q20" s="16">
        <v>379.04</v>
      </c>
      <c r="R20" s="14">
        <v>40749</v>
      </c>
      <c r="S20" s="14">
        <v>14254.87</v>
      </c>
      <c r="T20" s="21">
        <v>0</v>
      </c>
    </row>
    <row r="21" spans="1:20" s="2" customFormat="1" ht="38.25">
      <c r="A21" s="20" t="s">
        <v>11</v>
      </c>
      <c r="B21" s="13">
        <v>107</v>
      </c>
      <c r="C21" s="13">
        <f t="shared" si="0"/>
        <v>107</v>
      </c>
      <c r="D21" s="13"/>
      <c r="E21" s="13">
        <f t="shared" si="1"/>
        <v>212.58</v>
      </c>
      <c r="F21" s="13"/>
      <c r="G21" s="14">
        <f t="shared" si="2"/>
        <v>2551</v>
      </c>
      <c r="H21" s="13"/>
      <c r="I21" s="13"/>
      <c r="J21" s="14">
        <f t="shared" si="3"/>
        <v>272956.71</v>
      </c>
      <c r="K21" s="13"/>
      <c r="L21" s="16">
        <f t="shared" si="4"/>
        <v>272956.71</v>
      </c>
      <c r="M21" s="14">
        <f>178890.59-7625.78+4165.24</f>
        <v>175430.05</v>
      </c>
      <c r="N21" s="13"/>
      <c r="O21" s="14">
        <f>48904.24-1837.05+1066.01</f>
        <v>48133.2</v>
      </c>
      <c r="P21" s="13"/>
      <c r="Q21" s="16">
        <v>30</v>
      </c>
      <c r="R21" s="14">
        <v>33604.83</v>
      </c>
      <c r="S21" s="14">
        <v>15758.63</v>
      </c>
      <c r="T21" s="21">
        <v>0</v>
      </c>
    </row>
    <row r="22" spans="1:20" s="2" customFormat="1" ht="38.25">
      <c r="A22" s="20" t="s">
        <v>12</v>
      </c>
      <c r="B22" s="13">
        <v>107</v>
      </c>
      <c r="C22" s="13">
        <f t="shared" si="0"/>
        <v>107</v>
      </c>
      <c r="D22" s="13"/>
      <c r="E22" s="13">
        <f t="shared" si="1"/>
        <v>186.53</v>
      </c>
      <c r="F22" s="13"/>
      <c r="G22" s="14">
        <f t="shared" si="2"/>
        <v>2238.3</v>
      </c>
      <c r="H22" s="13"/>
      <c r="I22" s="13"/>
      <c r="J22" s="14">
        <f t="shared" si="3"/>
        <v>239497.58999999997</v>
      </c>
      <c r="K22" s="13"/>
      <c r="L22" s="16">
        <f t="shared" si="4"/>
        <v>239497.58999999997</v>
      </c>
      <c r="M22" s="14">
        <f>156873.36-6693.39+6392.37</f>
        <v>156572.33999999997</v>
      </c>
      <c r="N22" s="14"/>
      <c r="O22" s="14">
        <f>43822.25-1612.44+1610.61</f>
        <v>43820.42</v>
      </c>
      <c r="P22" s="14"/>
      <c r="Q22" s="14">
        <v>330.32</v>
      </c>
      <c r="R22" s="14">
        <v>29591.91</v>
      </c>
      <c r="S22" s="14">
        <v>9182.6</v>
      </c>
      <c r="T22" s="21">
        <v>0</v>
      </c>
    </row>
    <row r="23" spans="1:20" s="2" customFormat="1" ht="38.25">
      <c r="A23" s="20" t="s">
        <v>13</v>
      </c>
      <c r="B23" s="13">
        <v>254</v>
      </c>
      <c r="C23" s="13">
        <f t="shared" si="0"/>
        <v>254</v>
      </c>
      <c r="D23" s="13"/>
      <c r="E23" s="13">
        <f t="shared" si="1"/>
        <v>174.45</v>
      </c>
      <c r="F23" s="13"/>
      <c r="G23" s="14">
        <f t="shared" si="2"/>
        <v>2093.38</v>
      </c>
      <c r="H23" s="13"/>
      <c r="I23" s="13"/>
      <c r="J23" s="14">
        <f t="shared" si="3"/>
        <v>531717.89</v>
      </c>
      <c r="K23" s="13"/>
      <c r="L23" s="16">
        <f t="shared" si="4"/>
        <v>531717.89</v>
      </c>
      <c r="M23" s="14">
        <f>353486.95-15927.97+11182</f>
        <v>348740.98000000004</v>
      </c>
      <c r="N23" s="14"/>
      <c r="O23" s="14">
        <f>96755.41-3837.05+2721.24</f>
        <v>95639.6</v>
      </c>
      <c r="P23" s="14"/>
      <c r="Q23" s="14">
        <v>0</v>
      </c>
      <c r="R23" s="14">
        <v>62540.62</v>
      </c>
      <c r="S23" s="14">
        <f>24927.3-34.65-95.96</f>
        <v>24796.69</v>
      </c>
      <c r="T23" s="21">
        <v>0</v>
      </c>
    </row>
    <row r="24" spans="1:20" s="2" customFormat="1" ht="38.25">
      <c r="A24" s="20" t="s">
        <v>46</v>
      </c>
      <c r="B24" s="13">
        <v>59</v>
      </c>
      <c r="C24" s="13">
        <f t="shared" si="0"/>
        <v>59</v>
      </c>
      <c r="D24" s="13"/>
      <c r="E24" s="13">
        <f t="shared" si="1"/>
        <v>209.9</v>
      </c>
      <c r="F24" s="13"/>
      <c r="G24" s="14">
        <f t="shared" si="2"/>
        <v>2518.77</v>
      </c>
      <c r="H24" s="13"/>
      <c r="I24" s="13"/>
      <c r="J24" s="14">
        <f t="shared" si="3"/>
        <v>148607.42</v>
      </c>
      <c r="K24" s="13"/>
      <c r="L24" s="16">
        <f t="shared" si="4"/>
        <v>148607.42</v>
      </c>
      <c r="M24" s="14">
        <f>102987.57-5266.62</f>
        <v>97720.95000000001</v>
      </c>
      <c r="N24" s="14"/>
      <c r="O24" s="14">
        <f>30280.3-1268.73</f>
        <v>29011.57</v>
      </c>
      <c r="P24" s="14"/>
      <c r="Q24" s="14">
        <v>270.72</v>
      </c>
      <c r="R24" s="14">
        <v>15926.15</v>
      </c>
      <c r="S24" s="14">
        <f>22250.52-16572.49</f>
        <v>5678.029999999999</v>
      </c>
      <c r="T24" s="21">
        <v>0</v>
      </c>
    </row>
    <row r="25" spans="1:20" s="2" customFormat="1" ht="38.25">
      <c r="A25" s="20" t="s">
        <v>14</v>
      </c>
      <c r="B25" s="13">
        <v>110</v>
      </c>
      <c r="C25" s="13">
        <f t="shared" si="0"/>
        <v>110</v>
      </c>
      <c r="D25" s="13"/>
      <c r="E25" s="13">
        <f t="shared" si="1"/>
        <v>207.31</v>
      </c>
      <c r="F25" s="13"/>
      <c r="G25" s="14">
        <f t="shared" si="2"/>
        <v>2487.67</v>
      </c>
      <c r="H25" s="13"/>
      <c r="I25" s="13"/>
      <c r="J25" s="14">
        <f t="shared" si="3"/>
        <v>273643.35000000003</v>
      </c>
      <c r="K25" s="13"/>
      <c r="L25" s="16">
        <f t="shared" si="4"/>
        <v>273643.35000000003</v>
      </c>
      <c r="M25" s="14">
        <f>182355.67-7964.8+2078.41+7169.93</f>
        <v>183639.21000000002</v>
      </c>
      <c r="N25" s="14"/>
      <c r="O25" s="14">
        <f>49775.52-1918.72+507.53+1705.44</f>
        <v>50069.77</v>
      </c>
      <c r="P25" s="14"/>
      <c r="Q25" s="14">
        <v>0</v>
      </c>
      <c r="R25" s="14">
        <v>26257.44</v>
      </c>
      <c r="S25" s="14">
        <v>13676.93</v>
      </c>
      <c r="T25" s="21">
        <v>0</v>
      </c>
    </row>
    <row r="26" spans="1:20" s="10" customFormat="1" ht="38.25">
      <c r="A26" s="20" t="s">
        <v>15</v>
      </c>
      <c r="B26" s="13">
        <v>154</v>
      </c>
      <c r="C26" s="13">
        <f t="shared" si="0"/>
        <v>139</v>
      </c>
      <c r="D26" s="13">
        <v>15</v>
      </c>
      <c r="E26" s="13">
        <f t="shared" si="1"/>
        <v>186.15</v>
      </c>
      <c r="F26" s="13">
        <f>ROUND(I26/12,2)</f>
        <v>326.13</v>
      </c>
      <c r="G26" s="14">
        <f t="shared" si="2"/>
        <v>2233.84</v>
      </c>
      <c r="H26" s="13">
        <f>ROUND(K26/D26,2)</f>
        <v>1679.77</v>
      </c>
      <c r="I26" s="13">
        <f>SUM(G26:H26)</f>
        <v>3913.61</v>
      </c>
      <c r="J26" s="14">
        <f>M26+O26+Q26+R26+S26+T26</f>
        <v>344011.07000000007</v>
      </c>
      <c r="K26" s="14">
        <f>N26+P26</f>
        <v>25196.57</v>
      </c>
      <c r="L26" s="16">
        <f t="shared" si="4"/>
        <v>369207.6400000001</v>
      </c>
      <c r="M26" s="14">
        <f>251355.85-10893.9+2435.77+11349.69-N26</f>
        <v>233942.33000000002</v>
      </c>
      <c r="N26" s="14">
        <f>20995.08-690</f>
        <v>20305.08</v>
      </c>
      <c r="O26" s="14">
        <f>68862.72-2624.34+641.6+3214.17-P26</f>
        <v>65202.66000000001</v>
      </c>
      <c r="P26" s="14">
        <f>5057.71-166.22</f>
        <v>4891.49</v>
      </c>
      <c r="Q26" s="14">
        <v>0</v>
      </c>
      <c r="R26" s="14">
        <v>31705.87</v>
      </c>
      <c r="S26" s="14">
        <v>13160.21</v>
      </c>
      <c r="T26" s="21">
        <v>0</v>
      </c>
    </row>
    <row r="27" spans="1:20" s="2" customFormat="1" ht="38.25">
      <c r="A27" s="20" t="s">
        <v>16</v>
      </c>
      <c r="B27" s="13">
        <v>233</v>
      </c>
      <c r="C27" s="13">
        <f t="shared" si="0"/>
        <v>233</v>
      </c>
      <c r="D27" s="13"/>
      <c r="E27" s="13">
        <f t="shared" si="1"/>
        <v>158.22</v>
      </c>
      <c r="F27" s="13"/>
      <c r="G27" s="14">
        <f t="shared" si="2"/>
        <v>1898.67</v>
      </c>
      <c r="H27" s="13"/>
      <c r="I27" s="13"/>
      <c r="J27" s="13">
        <f aca="true" t="shared" si="5" ref="J27:J38">M27+O27+Q27+R27+S27+T27</f>
        <v>442389.30999999994</v>
      </c>
      <c r="K27" s="13"/>
      <c r="L27" s="16">
        <f t="shared" si="4"/>
        <v>442389.30999999994</v>
      </c>
      <c r="M27" s="14">
        <f>298509.45-13514.21+7895.92+3667.33</f>
        <v>296558.49</v>
      </c>
      <c r="N27" s="14"/>
      <c r="O27" s="14">
        <f>79440.04-3255.57+1911.13+938.06</f>
        <v>79033.65999999999</v>
      </c>
      <c r="P27" s="14"/>
      <c r="Q27" s="14">
        <v>304.02</v>
      </c>
      <c r="R27" s="14">
        <v>43010.54</v>
      </c>
      <c r="S27" s="14">
        <f>23513.75-31.15</f>
        <v>23482.6</v>
      </c>
      <c r="T27" s="21">
        <v>0</v>
      </c>
    </row>
    <row r="28" spans="1:20" s="2" customFormat="1" ht="38.25">
      <c r="A28" s="20" t="s">
        <v>17</v>
      </c>
      <c r="B28" s="13">
        <v>228</v>
      </c>
      <c r="C28" s="13">
        <f t="shared" si="0"/>
        <v>228</v>
      </c>
      <c r="D28" s="13"/>
      <c r="E28" s="13">
        <f t="shared" si="1"/>
        <v>172.18</v>
      </c>
      <c r="F28" s="13"/>
      <c r="G28" s="14">
        <f t="shared" si="2"/>
        <v>2066.11</v>
      </c>
      <c r="H28" s="13"/>
      <c r="I28" s="13"/>
      <c r="J28" s="13">
        <f t="shared" si="5"/>
        <v>471072.6699999999</v>
      </c>
      <c r="K28" s="13"/>
      <c r="L28" s="16">
        <f>SUM(J28:K28)</f>
        <v>471072.6699999999</v>
      </c>
      <c r="M28" s="14">
        <f>327153.66-14657.21+10767.67</f>
        <v>323264.11999999994</v>
      </c>
      <c r="N28" s="14"/>
      <c r="O28" s="14">
        <f>88426.5-3530.92+2652.47</f>
        <v>87548.05</v>
      </c>
      <c r="P28" s="14"/>
      <c r="Q28" s="14">
        <v>379.04</v>
      </c>
      <c r="R28" s="14">
        <v>36510.57</v>
      </c>
      <c r="S28" s="14">
        <v>23370.89</v>
      </c>
      <c r="T28" s="21">
        <v>0</v>
      </c>
    </row>
    <row r="29" spans="1:20" s="10" customFormat="1" ht="38.25">
      <c r="A29" s="20" t="s">
        <v>18</v>
      </c>
      <c r="B29" s="13">
        <v>63</v>
      </c>
      <c r="C29" s="13">
        <f t="shared" si="0"/>
        <v>57</v>
      </c>
      <c r="D29" s="13">
        <v>6</v>
      </c>
      <c r="E29" s="13">
        <f t="shared" si="1"/>
        <v>298.85</v>
      </c>
      <c r="F29" s="13">
        <f>ROUND(I29/12,2)</f>
        <v>584.52</v>
      </c>
      <c r="G29" s="14">
        <f t="shared" si="2"/>
        <v>3586.21</v>
      </c>
      <c r="H29" s="13">
        <f>ROUND(K29/D29,2)</f>
        <v>3428.08</v>
      </c>
      <c r="I29" s="13">
        <f>SUM(G29:H29)</f>
        <v>7014.29</v>
      </c>
      <c r="J29" s="14">
        <f>M29+O29+Q29+R29+S29+T29</f>
        <v>225931.18</v>
      </c>
      <c r="K29" s="13">
        <f>N29+P29</f>
        <v>20568.480000000003</v>
      </c>
      <c r="L29" s="16">
        <f t="shared" si="4"/>
        <v>246499.66</v>
      </c>
      <c r="M29" s="14">
        <f>176823.24-6487.32+785.81-N29</f>
        <v>154546.25999999998</v>
      </c>
      <c r="N29" s="17">
        <f>17139.47-564</f>
        <v>16575.47</v>
      </c>
      <c r="O29" s="14">
        <f>50433.92-1562.8+248.89-P29</f>
        <v>45126.99999999999</v>
      </c>
      <c r="P29" s="14">
        <f>4128.89-135.88</f>
        <v>3993.01</v>
      </c>
      <c r="Q29" s="14">
        <v>270.72</v>
      </c>
      <c r="R29" s="14">
        <v>17451.83</v>
      </c>
      <c r="S29" s="14">
        <f>8574.89-39.52</f>
        <v>8535.369999999999</v>
      </c>
      <c r="T29" s="21">
        <v>0</v>
      </c>
    </row>
    <row r="30" spans="1:20" s="2" customFormat="1" ht="38.25">
      <c r="A30" s="20" t="s">
        <v>19</v>
      </c>
      <c r="B30" s="13">
        <v>254</v>
      </c>
      <c r="C30" s="13">
        <f t="shared" si="0"/>
        <v>254</v>
      </c>
      <c r="D30" s="13"/>
      <c r="E30" s="13">
        <f t="shared" si="1"/>
        <v>156.94</v>
      </c>
      <c r="F30" s="13"/>
      <c r="G30" s="14">
        <f t="shared" si="2"/>
        <v>1883.23</v>
      </c>
      <c r="H30" s="13"/>
      <c r="I30" s="13"/>
      <c r="J30" s="13">
        <f t="shared" si="5"/>
        <v>478340.79</v>
      </c>
      <c r="K30" s="13"/>
      <c r="L30" s="16">
        <f t="shared" si="4"/>
        <v>478340.79</v>
      </c>
      <c r="M30" s="14">
        <f>326926.76-14842.53+19810.62</f>
        <v>331894.85</v>
      </c>
      <c r="N30" s="17"/>
      <c r="O30" s="14">
        <f>90342.67-3575.57+4949.97</f>
        <v>91717.06999999999</v>
      </c>
      <c r="P30" s="14"/>
      <c r="Q30" s="14">
        <v>379.04</v>
      </c>
      <c r="R30" s="14">
        <v>35704.27</v>
      </c>
      <c r="S30" s="14">
        <f>18668.54-22.98</f>
        <v>18645.56</v>
      </c>
      <c r="T30" s="21">
        <v>0</v>
      </c>
    </row>
    <row r="31" spans="1:20" s="2" customFormat="1" ht="38.25">
      <c r="A31" s="20" t="s">
        <v>20</v>
      </c>
      <c r="B31" s="13">
        <v>338</v>
      </c>
      <c r="C31" s="13">
        <f t="shared" si="0"/>
        <v>338</v>
      </c>
      <c r="D31" s="13"/>
      <c r="E31" s="13">
        <f t="shared" si="1"/>
        <v>149.88</v>
      </c>
      <c r="F31" s="13"/>
      <c r="G31" s="14">
        <f t="shared" si="2"/>
        <v>1798.51</v>
      </c>
      <c r="H31" s="13"/>
      <c r="I31" s="13"/>
      <c r="J31" s="13">
        <f t="shared" si="5"/>
        <v>607896.88</v>
      </c>
      <c r="K31" s="13"/>
      <c r="L31" s="16">
        <f t="shared" si="4"/>
        <v>607896.88</v>
      </c>
      <c r="M31" s="14">
        <f>410462.02-17303.5+12480.93</f>
        <v>405639.45</v>
      </c>
      <c r="N31" s="14"/>
      <c r="O31" s="14">
        <f>114437.05-4168.41</f>
        <v>110268.64</v>
      </c>
      <c r="P31" s="14"/>
      <c r="Q31" s="14">
        <v>23.25</v>
      </c>
      <c r="R31" s="14">
        <v>66796.15</v>
      </c>
      <c r="S31" s="14">
        <v>25169.39</v>
      </c>
      <c r="T31" s="21">
        <v>0</v>
      </c>
    </row>
    <row r="32" spans="1:20" s="10" customFormat="1" ht="38.25">
      <c r="A32" s="20" t="s">
        <v>21</v>
      </c>
      <c r="B32" s="13">
        <v>184</v>
      </c>
      <c r="C32" s="13">
        <f t="shared" si="0"/>
        <v>162</v>
      </c>
      <c r="D32" s="13">
        <v>22</v>
      </c>
      <c r="E32" s="13">
        <f t="shared" si="1"/>
        <v>232.03</v>
      </c>
      <c r="F32" s="13">
        <f>ROUND(I32/12,2)</f>
        <v>360.78</v>
      </c>
      <c r="G32" s="14">
        <f t="shared" si="2"/>
        <v>2784.33</v>
      </c>
      <c r="H32" s="13">
        <f>ROUND(K32/D32,2)</f>
        <v>1545.06</v>
      </c>
      <c r="I32" s="13">
        <f>SUM(G32:H32)</f>
        <v>4329.389999999999</v>
      </c>
      <c r="J32" s="14">
        <f>M32+O32+Q32+R32+S32+T32</f>
        <v>512316.1400000001</v>
      </c>
      <c r="K32" s="13">
        <f>N32+P32</f>
        <v>33991.34</v>
      </c>
      <c r="L32" s="16">
        <f t="shared" si="4"/>
        <v>546307.4800000001</v>
      </c>
      <c r="M32" s="14">
        <f>364161.59-14834.87+11236.96-N32</f>
        <v>335112.5200000001</v>
      </c>
      <c r="N32" s="14">
        <f>26691.16-1240</f>
        <v>25451.16</v>
      </c>
      <c r="O32" s="14">
        <f>104072.36-3573.72+2888.15-P32</f>
        <v>94846.60999999999</v>
      </c>
      <c r="P32" s="14">
        <f>8838.9-298.72</f>
        <v>8540.18</v>
      </c>
      <c r="Q32" s="14">
        <v>431.04</v>
      </c>
      <c r="R32" s="14">
        <f>60535.82-70</f>
        <v>60465.82</v>
      </c>
      <c r="S32" s="14">
        <v>21460.15</v>
      </c>
      <c r="T32" s="21">
        <v>0</v>
      </c>
    </row>
    <row r="33" spans="1:20" s="2" customFormat="1" ht="38.25">
      <c r="A33" s="20" t="s">
        <v>22</v>
      </c>
      <c r="B33" s="13">
        <v>234</v>
      </c>
      <c r="C33" s="13">
        <f t="shared" si="0"/>
        <v>234</v>
      </c>
      <c r="D33" s="13"/>
      <c r="E33" s="13">
        <f t="shared" si="1"/>
        <v>175.46</v>
      </c>
      <c r="F33" s="13"/>
      <c r="G33" s="14">
        <f t="shared" si="2"/>
        <v>2105.55</v>
      </c>
      <c r="H33" s="13"/>
      <c r="I33" s="13"/>
      <c r="J33" s="13">
        <f t="shared" si="5"/>
        <v>492698.4099999999</v>
      </c>
      <c r="K33" s="13"/>
      <c r="L33" s="16">
        <f t="shared" si="4"/>
        <v>492698.4099999999</v>
      </c>
      <c r="M33" s="14">
        <f>340464.84-15153.52+12910.16</f>
        <v>338221.48</v>
      </c>
      <c r="N33" s="14"/>
      <c r="O33" s="14">
        <f>95551.73-3650.48+3128.04</f>
        <v>95029.29</v>
      </c>
      <c r="P33" s="14"/>
      <c r="Q33" s="14">
        <v>289.22</v>
      </c>
      <c r="R33" s="14">
        <v>34306.93</v>
      </c>
      <c r="S33" s="14">
        <v>24851.49</v>
      </c>
      <c r="T33" s="21">
        <v>0</v>
      </c>
    </row>
    <row r="34" spans="1:20" s="2" customFormat="1" ht="38.25">
      <c r="A34" s="20" t="s">
        <v>23</v>
      </c>
      <c r="B34" s="13">
        <v>114</v>
      </c>
      <c r="C34" s="13">
        <f t="shared" si="0"/>
        <v>114</v>
      </c>
      <c r="D34" s="13"/>
      <c r="E34" s="13">
        <f t="shared" si="1"/>
        <v>219.96</v>
      </c>
      <c r="F34" s="13"/>
      <c r="G34" s="14">
        <f t="shared" si="2"/>
        <v>2639.57</v>
      </c>
      <c r="H34" s="13"/>
      <c r="I34" s="13"/>
      <c r="J34" s="13">
        <f t="shared" si="5"/>
        <v>300910.61</v>
      </c>
      <c r="K34" s="13"/>
      <c r="L34" s="16">
        <f t="shared" si="4"/>
        <v>300910.61</v>
      </c>
      <c r="M34" s="14">
        <f>204597.63-8356.75+5119.2</f>
        <v>201360.08000000002</v>
      </c>
      <c r="N34" s="14"/>
      <c r="O34" s="14">
        <f>57843.39-2013.14+1243.61</f>
        <v>57073.86</v>
      </c>
      <c r="P34" s="14"/>
      <c r="Q34" s="14">
        <v>270.72</v>
      </c>
      <c r="R34" s="14">
        <v>32224.59</v>
      </c>
      <c r="S34" s="14">
        <f>9999.09-17.73</f>
        <v>9981.36</v>
      </c>
      <c r="T34" s="21">
        <v>0</v>
      </c>
    </row>
    <row r="35" spans="1:20" s="2" customFormat="1" ht="38.25">
      <c r="A35" s="20" t="s">
        <v>24</v>
      </c>
      <c r="B35" s="13">
        <v>122</v>
      </c>
      <c r="C35" s="13">
        <f t="shared" si="0"/>
        <v>122</v>
      </c>
      <c r="D35" s="13"/>
      <c r="E35" s="13">
        <f t="shared" si="1"/>
        <v>203.25</v>
      </c>
      <c r="F35" s="13"/>
      <c r="G35" s="14">
        <f t="shared" si="2"/>
        <v>2438.98</v>
      </c>
      <c r="H35" s="13"/>
      <c r="I35" s="13"/>
      <c r="J35" s="13">
        <f t="shared" si="5"/>
        <v>297555.51000000007</v>
      </c>
      <c r="K35" s="13"/>
      <c r="L35" s="16">
        <f t="shared" si="4"/>
        <v>297555.51000000007</v>
      </c>
      <c r="M35" s="14">
        <f>206074.32-8619.41+5447.78</f>
        <v>202902.69</v>
      </c>
      <c r="N35" s="14"/>
      <c r="O35" s="14">
        <f>57529.5-2076.42+1315.44</f>
        <v>56768.520000000004</v>
      </c>
      <c r="P35" s="14"/>
      <c r="Q35" s="14">
        <v>0</v>
      </c>
      <c r="R35" s="14">
        <v>29046.52</v>
      </c>
      <c r="S35" s="14">
        <v>8837.78</v>
      </c>
      <c r="T35" s="21">
        <v>0</v>
      </c>
    </row>
    <row r="36" spans="1:20" s="2" customFormat="1" ht="38.25">
      <c r="A36" s="20" t="s">
        <v>25</v>
      </c>
      <c r="B36" s="13">
        <v>125</v>
      </c>
      <c r="C36" s="13">
        <f t="shared" si="0"/>
        <v>125</v>
      </c>
      <c r="D36" s="13"/>
      <c r="E36" s="13">
        <f t="shared" si="1"/>
        <v>191.74</v>
      </c>
      <c r="F36" s="13"/>
      <c r="G36" s="14">
        <f t="shared" si="2"/>
        <v>2300.93</v>
      </c>
      <c r="H36" s="13"/>
      <c r="I36" s="13"/>
      <c r="J36" s="13">
        <f t="shared" si="5"/>
        <v>287616.20999999996</v>
      </c>
      <c r="K36" s="13"/>
      <c r="L36" s="16">
        <f t="shared" si="4"/>
        <v>287616.20999999996</v>
      </c>
      <c r="M36" s="14">
        <f>205287.27-8584.05+4510.27</f>
        <v>201213.49</v>
      </c>
      <c r="N36" s="14"/>
      <c r="O36" s="14">
        <f>57648.37-2067.9+1098.97</f>
        <v>56679.44</v>
      </c>
      <c r="P36" s="14"/>
      <c r="Q36" s="14">
        <v>270.72</v>
      </c>
      <c r="R36" s="14">
        <f>25789.08-70</f>
        <v>25719.08</v>
      </c>
      <c r="S36" s="14">
        <v>3733.48</v>
      </c>
      <c r="T36" s="21">
        <v>0</v>
      </c>
    </row>
    <row r="37" spans="1:20" s="10" customFormat="1" ht="38.25">
      <c r="A37" s="20" t="s">
        <v>26</v>
      </c>
      <c r="B37" s="13">
        <v>223</v>
      </c>
      <c r="C37" s="13">
        <f t="shared" si="0"/>
        <v>223</v>
      </c>
      <c r="D37" s="13"/>
      <c r="E37" s="13">
        <f t="shared" si="1"/>
        <v>174.01</v>
      </c>
      <c r="F37" s="13"/>
      <c r="G37" s="14">
        <f t="shared" si="2"/>
        <v>2088.1</v>
      </c>
      <c r="H37" s="13"/>
      <c r="I37" s="13"/>
      <c r="J37" s="14">
        <f>M37+O37+Q37+R37+S37+T37</f>
        <v>465645.33999999997</v>
      </c>
      <c r="K37" s="13"/>
      <c r="L37" s="16">
        <f t="shared" si="4"/>
        <v>465645.33999999997</v>
      </c>
      <c r="M37" s="14">
        <f>292532.55-15174.35+4534.69+25632.65</f>
        <v>307525.54000000004</v>
      </c>
      <c r="N37" s="14"/>
      <c r="O37" s="14">
        <f>85469.58-3655.5+1139.06+6485.73</f>
        <v>89438.87</v>
      </c>
      <c r="P37" s="14"/>
      <c r="Q37" s="14">
        <v>379.04</v>
      </c>
      <c r="R37" s="14">
        <v>47124.91</v>
      </c>
      <c r="S37" s="14">
        <v>21176.98</v>
      </c>
      <c r="T37" s="21">
        <v>0</v>
      </c>
    </row>
    <row r="38" spans="1:20" s="2" customFormat="1" ht="37.5" customHeight="1">
      <c r="A38" s="23" t="s">
        <v>27</v>
      </c>
      <c r="B38" s="18">
        <v>218</v>
      </c>
      <c r="C38" s="18">
        <f t="shared" si="0"/>
        <v>218</v>
      </c>
      <c r="D38" s="18"/>
      <c r="E38" s="18">
        <f t="shared" si="1"/>
        <v>167.81</v>
      </c>
      <c r="F38" s="18"/>
      <c r="G38" s="15">
        <f t="shared" si="2"/>
        <v>2013.73</v>
      </c>
      <c r="H38" s="18"/>
      <c r="I38" s="18"/>
      <c r="J38" s="18">
        <f t="shared" si="5"/>
        <v>438993.16000000003</v>
      </c>
      <c r="K38" s="18"/>
      <c r="L38" s="19">
        <f t="shared" si="4"/>
        <v>438993.16000000003</v>
      </c>
      <c r="M38" s="15">
        <f>296364.37-11742.9+2927.18</f>
        <v>287548.64999999997</v>
      </c>
      <c r="N38" s="15"/>
      <c r="O38" s="15">
        <f>80318.24-2828.86+743.26</f>
        <v>78232.64</v>
      </c>
      <c r="P38" s="15"/>
      <c r="Q38" s="15">
        <v>486.7</v>
      </c>
      <c r="R38" s="15">
        <v>51920.08</v>
      </c>
      <c r="S38" s="15">
        <f>20957.4-152.31</f>
        <v>20805.09</v>
      </c>
      <c r="T38" s="24">
        <v>0</v>
      </c>
    </row>
    <row r="39" spans="1:20" s="11" customFormat="1" ht="0.75" customHeight="1" hidden="1">
      <c r="A39" s="29"/>
      <c r="B39" s="30">
        <f>SUM(B11:B38)</f>
        <v>4640</v>
      </c>
      <c r="C39" s="30">
        <f aca="true" t="shared" si="6" ref="C39:T39">SUM(C11:C38)</f>
        <v>4582</v>
      </c>
      <c r="D39" s="30">
        <f t="shared" si="6"/>
        <v>58</v>
      </c>
      <c r="E39" s="31">
        <f t="shared" si="6"/>
        <v>5422.83</v>
      </c>
      <c r="F39" s="31">
        <f t="shared" si="6"/>
        <v>1527.27</v>
      </c>
      <c r="G39" s="17">
        <f t="shared" si="2"/>
        <v>2186.95</v>
      </c>
      <c r="H39" s="31">
        <f t="shared" si="6"/>
        <v>7594.58</v>
      </c>
      <c r="I39" s="31">
        <f t="shared" si="6"/>
        <v>18327.4</v>
      </c>
      <c r="J39" s="32">
        <f t="shared" si="6"/>
        <v>10147437.031999998</v>
      </c>
      <c r="K39" s="31">
        <f t="shared" si="6"/>
        <v>93881.44</v>
      </c>
      <c r="L39" s="32">
        <f t="shared" si="6"/>
        <v>10241318.472</v>
      </c>
      <c r="M39" s="31">
        <f t="shared" si="6"/>
        <v>6804150.332</v>
      </c>
      <c r="N39" s="31">
        <f t="shared" si="6"/>
        <v>73714.61</v>
      </c>
      <c r="O39" s="31">
        <f t="shared" si="6"/>
        <v>1888177.1499999997</v>
      </c>
      <c r="P39" s="31">
        <f t="shared" si="6"/>
        <v>20166.83</v>
      </c>
      <c r="Q39" s="31">
        <f t="shared" si="6"/>
        <v>6354.790000000001</v>
      </c>
      <c r="R39" s="32">
        <f t="shared" si="6"/>
        <v>1010283.47</v>
      </c>
      <c r="S39" s="31">
        <f t="shared" si="6"/>
        <v>438471.29000000004</v>
      </c>
      <c r="T39" s="31">
        <f t="shared" si="6"/>
        <v>0</v>
      </c>
    </row>
    <row r="40" spans="14:16" s="2" customFormat="1" ht="12.75">
      <c r="N40" s="9"/>
      <c r="P40" s="9"/>
    </row>
    <row r="41" spans="14:16" s="2" customFormat="1" ht="12.75">
      <c r="N41" s="9"/>
      <c r="P41" s="9"/>
    </row>
    <row r="42" s="2" customFormat="1" ht="12.75"/>
    <row r="43" spans="1:23" s="4" customFormat="1" ht="15.75" customHeight="1">
      <c r="A43" s="46" t="s">
        <v>59</v>
      </c>
      <c r="B43" s="46"/>
      <c r="C43" s="46"/>
      <c r="D43" s="46"/>
      <c r="E43" s="46"/>
      <c r="F43" s="46"/>
      <c r="G43" s="46"/>
      <c r="H43" s="46"/>
      <c r="I43" s="46"/>
      <c r="J43" s="46"/>
      <c r="K43" s="7"/>
      <c r="L43" s="7"/>
      <c r="U43" s="3"/>
      <c r="V43" s="3"/>
      <c r="W43" s="3"/>
    </row>
    <row r="44" spans="1:10" s="2" customFormat="1" ht="12.75">
      <c r="A44" s="45" t="s">
        <v>33</v>
      </c>
      <c r="B44" s="45"/>
      <c r="C44" s="45"/>
      <c r="D44" s="45"/>
      <c r="E44" s="45"/>
      <c r="F44" s="45"/>
      <c r="G44" s="45"/>
      <c r="H44" s="45"/>
      <c r="I44" s="45"/>
      <c r="J44" s="45"/>
    </row>
    <row r="45" s="2" customFormat="1" ht="12.75"/>
    <row r="46" s="8" customFormat="1" ht="12.75">
      <c r="A46" s="8" t="s">
        <v>47</v>
      </c>
    </row>
    <row r="47" s="8" customFormat="1" ht="12.75">
      <c r="A47" s="8" t="s">
        <v>42</v>
      </c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/>
  <mergeCells count="30">
    <mergeCell ref="E6:F6"/>
    <mergeCell ref="A6:A9"/>
    <mergeCell ref="I7:I9"/>
    <mergeCell ref="M9:N9"/>
    <mergeCell ref="J7:J9"/>
    <mergeCell ref="A44:J44"/>
    <mergeCell ref="B7:B9"/>
    <mergeCell ref="A43:J43"/>
    <mergeCell ref="E7:E9"/>
    <mergeCell ref="G7:G9"/>
    <mergeCell ref="S6:S7"/>
    <mergeCell ref="R6:R7"/>
    <mergeCell ref="G6:I6"/>
    <mergeCell ref="M6:N6"/>
    <mergeCell ref="J6:L6"/>
    <mergeCell ref="M8:S8"/>
    <mergeCell ref="O6:P6"/>
    <mergeCell ref="H7:H9"/>
    <mergeCell ref="O9:P9"/>
    <mergeCell ref="K7:K9"/>
    <mergeCell ref="R2:T2"/>
    <mergeCell ref="R1:T1"/>
    <mergeCell ref="D7:D9"/>
    <mergeCell ref="B6:D6"/>
    <mergeCell ref="A5:T5"/>
    <mergeCell ref="F7:F9"/>
    <mergeCell ref="C7:C9"/>
    <mergeCell ref="T6:T7"/>
    <mergeCell ref="Q6:Q7"/>
    <mergeCell ref="L7:L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 TMF7Q KCKCT V9T29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Ina Skipare</cp:lastModifiedBy>
  <cp:lastPrinted>2019-10-08T11:17:53Z</cp:lastPrinted>
  <dcterms:created xsi:type="dcterms:W3CDTF">2009-02-13T06:37:44Z</dcterms:created>
  <dcterms:modified xsi:type="dcterms:W3CDTF">2019-10-15T11:28:29Z</dcterms:modified>
  <cp:category/>
  <cp:version/>
  <cp:contentType/>
  <cp:contentStatus/>
</cp:coreProperties>
</file>